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3965" windowHeight="7695"/>
  </bookViews>
  <sheets>
    <sheet name="１．売れる時期を把握する" sheetId="11" r:id="rId1"/>
    <sheet name="【補足】１．売れる時期を把握する" sheetId="30" r:id="rId2"/>
    <sheet name="２．環境要因を把握する" sheetId="24" r:id="rId3"/>
    <sheet name="２．売上に対する環境要因の影響を把握する" sheetId="27" r:id="rId4"/>
    <sheet name="２．店舗の売上に対する環境要因の影響を把握する" sheetId="35" r:id="rId5"/>
    <sheet name="３．最適在庫数を求める" sheetId="29" r:id="rId6"/>
    <sheet name="４．原価率と廃棄率より価格設定する" sheetId="28" r:id="rId7"/>
    <sheet name="４．損益分岐点より価格設定する" sheetId="40" r:id="rId8"/>
    <sheet name="４．売価と売上数の関係から価格設定する" sheetId="41" r:id="rId9"/>
    <sheet name="５．努力の方針を定める" sheetId="42" r:id="rId10"/>
  </sheets>
  <calcPr calcId="125725"/>
</workbook>
</file>

<file path=xl/calcChain.xml><?xml version="1.0" encoding="utf-8"?>
<calcChain xmlns="http://schemas.openxmlformats.org/spreadsheetml/2006/main">
  <c r="C19" i="40"/>
  <c r="E17" i="42"/>
  <c r="G17"/>
  <c r="H17"/>
  <c r="L17"/>
  <c r="AB17"/>
  <c r="F17"/>
  <c r="B8"/>
  <c r="B7"/>
  <c r="B6"/>
  <c r="B5"/>
  <c r="C8"/>
  <c r="C6"/>
  <c r="C5"/>
  <c r="C7"/>
  <c r="Z28"/>
  <c r="Z24"/>
  <c r="Z22"/>
  <c r="Z19"/>
  <c r="Z17"/>
  <c r="Y18"/>
  <c r="Z18" s="1"/>
  <c r="AA18" s="1"/>
  <c r="AB18" s="1"/>
  <c r="Y19"/>
  <c r="Y20" s="1"/>
  <c r="Y21" s="1"/>
  <c r="Y22" s="1"/>
  <c r="Y23" s="1"/>
  <c r="Y24" s="1"/>
  <c r="Y25" s="1"/>
  <c r="Y26" s="1"/>
  <c r="Y27" s="1"/>
  <c r="Y28" s="1"/>
  <c r="Y29" s="1"/>
  <c r="Y30" s="1"/>
  <c r="Y31" s="1"/>
  <c r="Z31" s="1"/>
  <c r="C18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E31" s="1"/>
  <c r="AF17" i="41"/>
  <c r="AG17"/>
  <c r="F8" i="40"/>
  <c r="F7"/>
  <c r="F18"/>
  <c r="F17"/>
  <c r="F16"/>
  <c r="F15"/>
  <c r="F14"/>
  <c r="F13"/>
  <c r="F12"/>
  <c r="F11"/>
  <c r="F10"/>
  <c r="F9"/>
  <c r="D7"/>
  <c r="B18"/>
  <c r="D9"/>
  <c r="D8"/>
  <c r="B10"/>
  <c r="B9"/>
  <c r="B8"/>
  <c r="B17"/>
  <c r="B16"/>
  <c r="B15"/>
  <c r="B14"/>
  <c r="B13"/>
  <c r="B12"/>
  <c r="B11"/>
  <c r="AI14" i="41"/>
  <c r="AI13"/>
  <c r="AI12"/>
  <c r="AH10"/>
  <c r="AI39"/>
  <c r="L44" i="29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40"/>
  <c r="L39" s="1"/>
  <c r="L38" s="1"/>
  <c r="L37" s="1"/>
  <c r="L36" s="1"/>
  <c r="L35" s="1"/>
  <c r="L34" s="1"/>
  <c r="L33" s="1"/>
  <c r="L32" s="1"/>
  <c r="L31" s="1"/>
  <c r="L30" s="1"/>
  <c r="L29" s="1"/>
  <c r="L28" s="1"/>
  <c r="L27" s="1"/>
  <c r="L26" s="1"/>
  <c r="L25" s="1"/>
  <c r="L24" s="1"/>
  <c r="L23" s="1"/>
  <c r="L22" s="1"/>
  <c r="L41"/>
  <c r="L43"/>
  <c r="Z23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AA23"/>
  <c r="AA24" s="1"/>
  <c r="AA25" s="1"/>
  <c r="AA26" s="1"/>
  <c r="AA27" s="1"/>
  <c r="G9"/>
  <c r="G8"/>
  <c r="E19" i="42" l="1"/>
  <c r="E23"/>
  <c r="E27"/>
  <c r="E18"/>
  <c r="F18" s="1"/>
  <c r="G18" s="1"/>
  <c r="E22"/>
  <c r="F22" s="1"/>
  <c r="G22" s="1"/>
  <c r="E26"/>
  <c r="F26" s="1"/>
  <c r="G26" s="1"/>
  <c r="E30"/>
  <c r="F30" s="1"/>
  <c r="G30" s="1"/>
  <c r="Z23"/>
  <c r="AA23" s="1"/>
  <c r="AB23" s="1"/>
  <c r="Z30"/>
  <c r="E21"/>
  <c r="E25"/>
  <c r="E29"/>
  <c r="AA31"/>
  <c r="AB31" s="1"/>
  <c r="E20"/>
  <c r="F20" s="1"/>
  <c r="G20" s="1"/>
  <c r="E24"/>
  <c r="F24" s="1"/>
  <c r="G24" s="1"/>
  <c r="E28"/>
  <c r="F28" s="1"/>
  <c r="G28" s="1"/>
  <c r="Z20"/>
  <c r="AA20" s="1"/>
  <c r="Z26"/>
  <c r="AA26" s="1"/>
  <c r="AB20"/>
  <c r="AD20" s="1"/>
  <c r="AB26"/>
  <c r="AA30"/>
  <c r="AB30" s="1"/>
  <c r="AD30" s="1"/>
  <c r="F21"/>
  <c r="G21" s="1"/>
  <c r="J21" s="1"/>
  <c r="K21" s="1"/>
  <c r="F25"/>
  <c r="G25" s="1"/>
  <c r="F29"/>
  <c r="G29" s="1"/>
  <c r="J29" s="1"/>
  <c r="K29" s="1"/>
  <c r="AA17"/>
  <c r="AE17" s="1"/>
  <c r="AF17" s="1"/>
  <c r="AA22"/>
  <c r="AB22" s="1"/>
  <c r="AD22" s="1"/>
  <c r="AA28"/>
  <c r="AB28" s="1"/>
  <c r="F19"/>
  <c r="G19" s="1"/>
  <c r="J19" s="1"/>
  <c r="K19" s="1"/>
  <c r="F23"/>
  <c r="G23" s="1"/>
  <c r="F27"/>
  <c r="G27" s="1"/>
  <c r="J27" s="1"/>
  <c r="K27" s="1"/>
  <c r="F31"/>
  <c r="G31" s="1"/>
  <c r="AA19"/>
  <c r="AB19" s="1"/>
  <c r="AC19" s="1"/>
  <c r="AA24"/>
  <c r="AB24" s="1"/>
  <c r="AE24" s="1"/>
  <c r="AF24" s="1"/>
  <c r="AD17"/>
  <c r="Z27"/>
  <c r="AA27" s="1"/>
  <c r="AB27" s="1"/>
  <c r="Z21"/>
  <c r="AA21" s="1"/>
  <c r="AB21" s="1"/>
  <c r="AD21" s="1"/>
  <c r="Z25"/>
  <c r="AA25" s="1"/>
  <c r="AB25" s="1"/>
  <c r="AD25" s="1"/>
  <c r="Z29"/>
  <c r="AA29" s="1"/>
  <c r="AB29" s="1"/>
  <c r="AE29" s="1"/>
  <c r="AF29" s="1"/>
  <c r="AE19"/>
  <c r="AF19" s="1"/>
  <c r="AE23"/>
  <c r="AF23" s="1"/>
  <c r="AD23"/>
  <c r="AE27"/>
  <c r="AF27" s="1"/>
  <c r="AD27"/>
  <c r="AD31"/>
  <c r="AE31"/>
  <c r="AF31" s="1"/>
  <c r="AE20"/>
  <c r="AF20" s="1"/>
  <c r="AE18"/>
  <c r="AF18" s="1"/>
  <c r="AD18"/>
  <c r="AE22"/>
  <c r="AF22" s="1"/>
  <c r="AD26"/>
  <c r="AE26"/>
  <c r="AF26" s="1"/>
  <c r="AE30"/>
  <c r="AF30" s="1"/>
  <c r="AE25"/>
  <c r="AF25" s="1"/>
  <c r="AE28"/>
  <c r="AF28" s="1"/>
  <c r="AD28"/>
  <c r="AC17"/>
  <c r="AC18"/>
  <c r="AG18" s="1"/>
  <c r="AC20"/>
  <c r="AC23"/>
  <c r="AC24"/>
  <c r="AC26"/>
  <c r="AC27"/>
  <c r="AC28"/>
  <c r="AC30"/>
  <c r="AC31"/>
  <c r="I19"/>
  <c r="H19"/>
  <c r="I23"/>
  <c r="J23"/>
  <c r="K23" s="1"/>
  <c r="H23"/>
  <c r="I27"/>
  <c r="H27"/>
  <c r="I31"/>
  <c r="J31"/>
  <c r="K31" s="1"/>
  <c r="H31"/>
  <c r="I18"/>
  <c r="J18"/>
  <c r="K18" s="1"/>
  <c r="H18"/>
  <c r="I22"/>
  <c r="J22"/>
  <c r="K22" s="1"/>
  <c r="H22"/>
  <c r="I26"/>
  <c r="J26"/>
  <c r="K26" s="1"/>
  <c r="H26"/>
  <c r="I30"/>
  <c r="J30"/>
  <c r="K30" s="1"/>
  <c r="H30"/>
  <c r="I21"/>
  <c r="H21"/>
  <c r="I25"/>
  <c r="J25"/>
  <c r="K25" s="1"/>
  <c r="H25"/>
  <c r="I29"/>
  <c r="H29"/>
  <c r="I20"/>
  <c r="J20"/>
  <c r="K20" s="1"/>
  <c r="H20"/>
  <c r="I24"/>
  <c r="J24"/>
  <c r="K24" s="1"/>
  <c r="H24"/>
  <c r="I17"/>
  <c r="J17"/>
  <c r="K17" s="1"/>
  <c r="AI18" i="41"/>
  <c r="AI22"/>
  <c r="AI26"/>
  <c r="AI30"/>
  <c r="AI34"/>
  <c r="AI38"/>
  <c r="AI17"/>
  <c r="AI21"/>
  <c r="AI25"/>
  <c r="AI29"/>
  <c r="AI33"/>
  <c r="AI37"/>
  <c r="AI41"/>
  <c r="AI20"/>
  <c r="AI28"/>
  <c r="AI32"/>
  <c r="AI36"/>
  <c r="AI40"/>
  <c r="AI16"/>
  <c r="AI24"/>
  <c r="AI15"/>
  <c r="AI19"/>
  <c r="AI23"/>
  <c r="AI27"/>
  <c r="AI31"/>
  <c r="AI35"/>
  <c r="I28" i="42" l="1"/>
  <c r="H28"/>
  <c r="J28"/>
  <c r="K28" s="1"/>
  <c r="AG31"/>
  <c r="AG27"/>
  <c r="AC22"/>
  <c r="AD19"/>
  <c r="AC29"/>
  <c r="AD24"/>
  <c r="AG26"/>
  <c r="AC21"/>
  <c r="AE21"/>
  <c r="AF21" s="1"/>
  <c r="AG21" s="1"/>
  <c r="L20"/>
  <c r="AG23"/>
  <c r="AG19"/>
  <c r="L30"/>
  <c r="L31"/>
  <c r="AG24"/>
  <c r="AG28"/>
  <c r="AC25"/>
  <c r="AG25" s="1"/>
  <c r="AG17"/>
  <c r="AD29"/>
  <c r="AG20"/>
  <c r="AG30"/>
  <c r="AG22"/>
  <c r="L29"/>
  <c r="L26"/>
  <c r="L27"/>
  <c r="L28"/>
  <c r="L25"/>
  <c r="L22"/>
  <c r="L23"/>
  <c r="L24"/>
  <c r="L21"/>
  <c r="L18"/>
  <c r="L19"/>
  <c r="AA28" i="29"/>
  <c r="AG29" i="42" l="1"/>
  <c r="AA29" i="29"/>
  <c r="AA30" l="1"/>
  <c r="AA31" l="1"/>
  <c r="AA32" l="1"/>
  <c r="AA33" l="1"/>
  <c r="AA34" l="1"/>
  <c r="AA35" l="1"/>
  <c r="AA36" l="1"/>
  <c r="AA37" l="1"/>
  <c r="AA38" l="1"/>
  <c r="AA39" l="1"/>
  <c r="AA40" l="1"/>
  <c r="AA41" l="1"/>
  <c r="A10" i="24" l="1"/>
  <c r="P10"/>
  <c r="AE10"/>
  <c r="AT10"/>
  <c r="A11"/>
  <c r="P11"/>
  <c r="AE11"/>
  <c r="AT11"/>
  <c r="A12"/>
  <c r="A13" s="1"/>
  <c r="A14" s="1"/>
  <c r="A15" s="1"/>
  <c r="A16" s="1"/>
  <c r="A17" s="1"/>
  <c r="P12"/>
  <c r="AE12"/>
  <c r="AE13" s="1"/>
  <c r="AE14" s="1"/>
  <c r="AE15" s="1"/>
  <c r="AE16" s="1"/>
  <c r="AT12"/>
  <c r="P13"/>
  <c r="P14" s="1"/>
  <c r="P15" s="1"/>
  <c r="P16" s="1"/>
  <c r="P17" s="1"/>
  <c r="P18" s="1"/>
  <c r="P19" s="1"/>
  <c r="AT13"/>
  <c r="AT14" s="1"/>
  <c r="F8"/>
  <c r="F10" s="1"/>
  <c r="V18" i="42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B5" i="41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6"/>
  <c r="AG15"/>
  <c r="AG14"/>
  <c r="AG13"/>
  <c r="AG12"/>
  <c r="F12"/>
  <c r="AF1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G12"/>
  <c r="B7"/>
  <c r="B6"/>
  <c r="E22" s="1"/>
  <c r="D22"/>
  <c r="D12"/>
  <c r="AE14"/>
  <c r="AE15" s="1"/>
  <c r="AE13"/>
  <c r="D1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1"/>
  <c r="D20"/>
  <c r="D19"/>
  <c r="D18"/>
  <c r="D17"/>
  <c r="D16"/>
  <c r="D15"/>
  <c r="D14"/>
  <c r="C8" i="28"/>
  <c r="D7"/>
  <c r="D8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8" i="29"/>
  <c r="I7" s="1"/>
  <c r="B5"/>
  <c r="H7" s="1"/>
  <c r="U105" i="35"/>
  <c r="T105"/>
  <c r="S105"/>
  <c r="R105"/>
  <c r="Q105"/>
  <c r="P105"/>
  <c r="O105"/>
  <c r="N105"/>
  <c r="M105"/>
  <c r="L105"/>
  <c r="K105"/>
  <c r="J105"/>
  <c r="I105"/>
  <c r="H105"/>
  <c r="G105"/>
  <c r="F105"/>
  <c r="U104"/>
  <c r="T104"/>
  <c r="S104"/>
  <c r="R104"/>
  <c r="Q104"/>
  <c r="P104"/>
  <c r="O104"/>
  <c r="N104"/>
  <c r="M104"/>
  <c r="L104"/>
  <c r="K104"/>
  <c r="J104"/>
  <c r="I104"/>
  <c r="H104"/>
  <c r="G104"/>
  <c r="F104"/>
  <c r="U103"/>
  <c r="T103"/>
  <c r="S103"/>
  <c r="R103"/>
  <c r="Q103"/>
  <c r="P103"/>
  <c r="O103"/>
  <c r="N103"/>
  <c r="M103"/>
  <c r="L103"/>
  <c r="K103"/>
  <c r="J103"/>
  <c r="I103"/>
  <c r="H103"/>
  <c r="G103"/>
  <c r="F103"/>
  <c r="U102"/>
  <c r="T102"/>
  <c r="S102"/>
  <c r="R102"/>
  <c r="Q102"/>
  <c r="P102"/>
  <c r="O102"/>
  <c r="N102"/>
  <c r="M102"/>
  <c r="L102"/>
  <c r="K102"/>
  <c r="J102"/>
  <c r="I102"/>
  <c r="H102"/>
  <c r="G102"/>
  <c r="F102"/>
  <c r="U101"/>
  <c r="T101"/>
  <c r="S101"/>
  <c r="R101"/>
  <c r="Q101"/>
  <c r="P101"/>
  <c r="O101"/>
  <c r="N101"/>
  <c r="M101"/>
  <c r="L101"/>
  <c r="K101"/>
  <c r="J101"/>
  <c r="I101"/>
  <c r="H101"/>
  <c r="G101"/>
  <c r="F101"/>
  <c r="U100"/>
  <c r="T100"/>
  <c r="S100"/>
  <c r="R100"/>
  <c r="Q100"/>
  <c r="P100"/>
  <c r="O100"/>
  <c r="N100"/>
  <c r="M100"/>
  <c r="L100"/>
  <c r="K100"/>
  <c r="J100"/>
  <c r="I100"/>
  <c r="H100"/>
  <c r="G100"/>
  <c r="F100"/>
  <c r="U99"/>
  <c r="T99"/>
  <c r="S99"/>
  <c r="R99"/>
  <c r="Q99"/>
  <c r="P99"/>
  <c r="O99"/>
  <c r="N99"/>
  <c r="M99"/>
  <c r="L99"/>
  <c r="K99"/>
  <c r="J99"/>
  <c r="I99"/>
  <c r="H99"/>
  <c r="G99"/>
  <c r="F99"/>
  <c r="U98"/>
  <c r="T98"/>
  <c r="S98"/>
  <c r="R98"/>
  <c r="Q98"/>
  <c r="P98"/>
  <c r="O98"/>
  <c r="N98"/>
  <c r="M98"/>
  <c r="L98"/>
  <c r="K98"/>
  <c r="J98"/>
  <c r="I98"/>
  <c r="H98"/>
  <c r="G98"/>
  <c r="F98"/>
  <c r="U97"/>
  <c r="T97"/>
  <c r="S97"/>
  <c r="R97"/>
  <c r="Q97"/>
  <c r="P97"/>
  <c r="O97"/>
  <c r="N97"/>
  <c r="M97"/>
  <c r="L97"/>
  <c r="K97"/>
  <c r="J97"/>
  <c r="I97"/>
  <c r="H97"/>
  <c r="G97"/>
  <c r="F97"/>
  <c r="U96"/>
  <c r="T96"/>
  <c r="S96"/>
  <c r="R96"/>
  <c r="Q96"/>
  <c r="P96"/>
  <c r="O96"/>
  <c r="N96"/>
  <c r="M96"/>
  <c r="L96"/>
  <c r="K96"/>
  <c r="J96"/>
  <c r="I96"/>
  <c r="H96"/>
  <c r="G96"/>
  <c r="F96"/>
  <c r="U95"/>
  <c r="T95"/>
  <c r="S95"/>
  <c r="R95"/>
  <c r="Q95"/>
  <c r="P95"/>
  <c r="O95"/>
  <c r="N95"/>
  <c r="M95"/>
  <c r="L95"/>
  <c r="K95"/>
  <c r="J95"/>
  <c r="I95"/>
  <c r="H95"/>
  <c r="G95"/>
  <c r="F95"/>
  <c r="U94"/>
  <c r="T94"/>
  <c r="S94"/>
  <c r="R94"/>
  <c r="Q94"/>
  <c r="P94"/>
  <c r="O94"/>
  <c r="N94"/>
  <c r="M94"/>
  <c r="L94"/>
  <c r="K94"/>
  <c r="J94"/>
  <c r="I94"/>
  <c r="H94"/>
  <c r="G94"/>
  <c r="F94"/>
  <c r="U93"/>
  <c r="T93"/>
  <c r="S93"/>
  <c r="R93"/>
  <c r="Q93"/>
  <c r="P93"/>
  <c r="O93"/>
  <c r="N93"/>
  <c r="M93"/>
  <c r="L93"/>
  <c r="K93"/>
  <c r="J93"/>
  <c r="I93"/>
  <c r="H93"/>
  <c r="G93"/>
  <c r="F93"/>
  <c r="U92"/>
  <c r="T92"/>
  <c r="S92"/>
  <c r="R92"/>
  <c r="Q92"/>
  <c r="P92"/>
  <c r="O92"/>
  <c r="N92"/>
  <c r="M92"/>
  <c r="L92"/>
  <c r="K92"/>
  <c r="J92"/>
  <c r="I92"/>
  <c r="H92"/>
  <c r="G92"/>
  <c r="F92"/>
  <c r="U91"/>
  <c r="T91"/>
  <c r="S91"/>
  <c r="R91"/>
  <c r="Q91"/>
  <c r="P91"/>
  <c r="O91"/>
  <c r="N91"/>
  <c r="M91"/>
  <c r="L91"/>
  <c r="K91"/>
  <c r="J91"/>
  <c r="I91"/>
  <c r="H91"/>
  <c r="G91"/>
  <c r="F91"/>
  <c r="U90"/>
  <c r="T90"/>
  <c r="S90"/>
  <c r="R90"/>
  <c r="Q90"/>
  <c r="P90"/>
  <c r="O90"/>
  <c r="N90"/>
  <c r="M90"/>
  <c r="L90"/>
  <c r="K90"/>
  <c r="J90"/>
  <c r="I90"/>
  <c r="H90"/>
  <c r="G90"/>
  <c r="F90"/>
  <c r="U89"/>
  <c r="T89"/>
  <c r="S89"/>
  <c r="R89"/>
  <c r="Q89"/>
  <c r="P89"/>
  <c r="O89"/>
  <c r="N89"/>
  <c r="M89"/>
  <c r="L89"/>
  <c r="K89"/>
  <c r="J89"/>
  <c r="I89"/>
  <c r="H89"/>
  <c r="G89"/>
  <c r="F89"/>
  <c r="U88"/>
  <c r="T88"/>
  <c r="S88"/>
  <c r="R88"/>
  <c r="Q88"/>
  <c r="P88"/>
  <c r="O88"/>
  <c r="N88"/>
  <c r="M88"/>
  <c r="L88"/>
  <c r="K88"/>
  <c r="J88"/>
  <c r="I88"/>
  <c r="H88"/>
  <c r="G88"/>
  <c r="F88"/>
  <c r="U87"/>
  <c r="T87"/>
  <c r="S87"/>
  <c r="R87"/>
  <c r="Q87"/>
  <c r="P87"/>
  <c r="O87"/>
  <c r="N87"/>
  <c r="M87"/>
  <c r="L87"/>
  <c r="K87"/>
  <c r="J87"/>
  <c r="I87"/>
  <c r="H87"/>
  <c r="G87"/>
  <c r="F87"/>
  <c r="U86"/>
  <c r="T86"/>
  <c r="S86"/>
  <c r="R86"/>
  <c r="Q86"/>
  <c r="P86"/>
  <c r="O86"/>
  <c r="N86"/>
  <c r="M86"/>
  <c r="L86"/>
  <c r="K86"/>
  <c r="J86"/>
  <c r="I86"/>
  <c r="H86"/>
  <c r="G86"/>
  <c r="F86"/>
  <c r="U85"/>
  <c r="T85"/>
  <c r="S85"/>
  <c r="R85"/>
  <c r="Q85"/>
  <c r="P85"/>
  <c r="O85"/>
  <c r="N85"/>
  <c r="M85"/>
  <c r="L85"/>
  <c r="K85"/>
  <c r="J85"/>
  <c r="I85"/>
  <c r="H85"/>
  <c r="G85"/>
  <c r="F85"/>
  <c r="U84"/>
  <c r="T84"/>
  <c r="S84"/>
  <c r="R84"/>
  <c r="Q84"/>
  <c r="P84"/>
  <c r="O84"/>
  <c r="N84"/>
  <c r="M84"/>
  <c r="L84"/>
  <c r="K84"/>
  <c r="J84"/>
  <c r="I84"/>
  <c r="H84"/>
  <c r="G84"/>
  <c r="F84"/>
  <c r="U83"/>
  <c r="T83"/>
  <c r="S83"/>
  <c r="R83"/>
  <c r="Q83"/>
  <c r="P83"/>
  <c r="O83"/>
  <c r="N83"/>
  <c r="M83"/>
  <c r="L83"/>
  <c r="K83"/>
  <c r="J83"/>
  <c r="I83"/>
  <c r="H83"/>
  <c r="G83"/>
  <c r="F83"/>
  <c r="U82"/>
  <c r="T82"/>
  <c r="S82"/>
  <c r="R82"/>
  <c r="Q82"/>
  <c r="P82"/>
  <c r="O82"/>
  <c r="N82"/>
  <c r="M82"/>
  <c r="L82"/>
  <c r="K82"/>
  <c r="J82"/>
  <c r="I82"/>
  <c r="H82"/>
  <c r="G82"/>
  <c r="F82"/>
  <c r="U81"/>
  <c r="T81"/>
  <c r="S81"/>
  <c r="R81"/>
  <c r="Q81"/>
  <c r="P81"/>
  <c r="O81"/>
  <c r="N81"/>
  <c r="M81"/>
  <c r="L81"/>
  <c r="K81"/>
  <c r="J81"/>
  <c r="I81"/>
  <c r="H81"/>
  <c r="G81"/>
  <c r="F81"/>
  <c r="U80"/>
  <c r="T80"/>
  <c r="S80"/>
  <c r="R80"/>
  <c r="Q80"/>
  <c r="P80"/>
  <c r="O80"/>
  <c r="N80"/>
  <c r="M80"/>
  <c r="L80"/>
  <c r="K80"/>
  <c r="J80"/>
  <c r="I80"/>
  <c r="H80"/>
  <c r="G80"/>
  <c r="F80"/>
  <c r="U79"/>
  <c r="T79"/>
  <c r="S79"/>
  <c r="R79"/>
  <c r="Q79"/>
  <c r="P79"/>
  <c r="O79"/>
  <c r="N79"/>
  <c r="M79"/>
  <c r="L79"/>
  <c r="K79"/>
  <c r="J79"/>
  <c r="I79"/>
  <c r="H79"/>
  <c r="G79"/>
  <c r="F79"/>
  <c r="U78"/>
  <c r="T78"/>
  <c r="S78"/>
  <c r="R78"/>
  <c r="Q78"/>
  <c r="P78"/>
  <c r="O78"/>
  <c r="N78"/>
  <c r="M78"/>
  <c r="L78"/>
  <c r="K78"/>
  <c r="J78"/>
  <c r="I78"/>
  <c r="H78"/>
  <c r="G78"/>
  <c r="F78"/>
  <c r="U77"/>
  <c r="T77"/>
  <c r="S77"/>
  <c r="R77"/>
  <c r="Q77"/>
  <c r="P77"/>
  <c r="O77"/>
  <c r="N77"/>
  <c r="M77"/>
  <c r="L77"/>
  <c r="K77"/>
  <c r="J77"/>
  <c r="I77"/>
  <c r="H77"/>
  <c r="G77"/>
  <c r="F77"/>
  <c r="U76"/>
  <c r="T76"/>
  <c r="S76"/>
  <c r="R76"/>
  <c r="Q76"/>
  <c r="P76"/>
  <c r="O76"/>
  <c r="N76"/>
  <c r="M76"/>
  <c r="L76"/>
  <c r="K76"/>
  <c r="J76"/>
  <c r="I76"/>
  <c r="H76"/>
  <c r="G76"/>
  <c r="F76"/>
  <c r="U75"/>
  <c r="T75"/>
  <c r="S75"/>
  <c r="R75"/>
  <c r="Q75"/>
  <c r="P75"/>
  <c r="O75"/>
  <c r="N75"/>
  <c r="M75"/>
  <c r="L75"/>
  <c r="K75"/>
  <c r="J75"/>
  <c r="I75"/>
  <c r="H75"/>
  <c r="G75"/>
  <c r="F75"/>
  <c r="U74"/>
  <c r="T74"/>
  <c r="S74"/>
  <c r="R74"/>
  <c r="Q74"/>
  <c r="P74"/>
  <c r="O74"/>
  <c r="N74"/>
  <c r="M74"/>
  <c r="L74"/>
  <c r="K74"/>
  <c r="J74"/>
  <c r="I74"/>
  <c r="H74"/>
  <c r="G74"/>
  <c r="F74"/>
  <c r="U73"/>
  <c r="T73"/>
  <c r="S73"/>
  <c r="R73"/>
  <c r="Q73"/>
  <c r="P73"/>
  <c r="O73"/>
  <c r="N73"/>
  <c r="M73"/>
  <c r="L73"/>
  <c r="K73"/>
  <c r="J73"/>
  <c r="I73"/>
  <c r="H73"/>
  <c r="G73"/>
  <c r="F73"/>
  <c r="U72"/>
  <c r="T72"/>
  <c r="S72"/>
  <c r="R72"/>
  <c r="Q72"/>
  <c r="P72"/>
  <c r="O72"/>
  <c r="N72"/>
  <c r="M72"/>
  <c r="L72"/>
  <c r="K72"/>
  <c r="J72"/>
  <c r="I72"/>
  <c r="H72"/>
  <c r="G72"/>
  <c r="F72"/>
  <c r="U71"/>
  <c r="T71"/>
  <c r="S71"/>
  <c r="R71"/>
  <c r="Q71"/>
  <c r="P71"/>
  <c r="O71"/>
  <c r="N71"/>
  <c r="M71"/>
  <c r="L71"/>
  <c r="K71"/>
  <c r="J71"/>
  <c r="I71"/>
  <c r="H71"/>
  <c r="G71"/>
  <c r="F71"/>
  <c r="U70"/>
  <c r="T70"/>
  <c r="S70"/>
  <c r="R70"/>
  <c r="Q70"/>
  <c r="P70"/>
  <c r="O70"/>
  <c r="N70"/>
  <c r="M70"/>
  <c r="L70"/>
  <c r="K70"/>
  <c r="J70"/>
  <c r="I70"/>
  <c r="H70"/>
  <c r="G70"/>
  <c r="F70"/>
  <c r="U69"/>
  <c r="T69"/>
  <c r="S69"/>
  <c r="R69"/>
  <c r="Q69"/>
  <c r="P69"/>
  <c r="O69"/>
  <c r="N69"/>
  <c r="M69"/>
  <c r="L69"/>
  <c r="K69"/>
  <c r="J69"/>
  <c r="I69"/>
  <c r="H69"/>
  <c r="G69"/>
  <c r="F69"/>
  <c r="U68"/>
  <c r="T68"/>
  <c r="S68"/>
  <c r="R68"/>
  <c r="Q68"/>
  <c r="P68"/>
  <c r="O68"/>
  <c r="N68"/>
  <c r="M68"/>
  <c r="L68"/>
  <c r="K68"/>
  <c r="J68"/>
  <c r="I68"/>
  <c r="H68"/>
  <c r="G68"/>
  <c r="F68"/>
  <c r="U67"/>
  <c r="T67"/>
  <c r="S67"/>
  <c r="R67"/>
  <c r="Q67"/>
  <c r="P67"/>
  <c r="O67"/>
  <c r="N67"/>
  <c r="M67"/>
  <c r="L67"/>
  <c r="K67"/>
  <c r="J67"/>
  <c r="I67"/>
  <c r="H67"/>
  <c r="G67"/>
  <c r="F67"/>
  <c r="U66"/>
  <c r="T66"/>
  <c r="S66"/>
  <c r="R66"/>
  <c r="Q66"/>
  <c r="P66"/>
  <c r="O66"/>
  <c r="N66"/>
  <c r="M66"/>
  <c r="L66"/>
  <c r="K66"/>
  <c r="J66"/>
  <c r="I66"/>
  <c r="H66"/>
  <c r="G66"/>
  <c r="F66"/>
  <c r="U65"/>
  <c r="T65"/>
  <c r="S65"/>
  <c r="R65"/>
  <c r="Q65"/>
  <c r="P65"/>
  <c r="O65"/>
  <c r="N65"/>
  <c r="M65"/>
  <c r="L65"/>
  <c r="K65"/>
  <c r="J65"/>
  <c r="I65"/>
  <c r="H65"/>
  <c r="G65"/>
  <c r="F65"/>
  <c r="U64"/>
  <c r="T64"/>
  <c r="S64"/>
  <c r="R64"/>
  <c r="Q64"/>
  <c r="P64"/>
  <c r="O64"/>
  <c r="N64"/>
  <c r="M64"/>
  <c r="L64"/>
  <c r="K64"/>
  <c r="J64"/>
  <c r="I64"/>
  <c r="H64"/>
  <c r="G64"/>
  <c r="F64"/>
  <c r="U63"/>
  <c r="T63"/>
  <c r="S63"/>
  <c r="R63"/>
  <c r="Q63"/>
  <c r="P63"/>
  <c r="O63"/>
  <c r="N63"/>
  <c r="M63"/>
  <c r="L63"/>
  <c r="K63"/>
  <c r="J63"/>
  <c r="I63"/>
  <c r="H63"/>
  <c r="G63"/>
  <c r="F63"/>
  <c r="U62"/>
  <c r="T62"/>
  <c r="S62"/>
  <c r="R62"/>
  <c r="Q62"/>
  <c r="P62"/>
  <c r="O62"/>
  <c r="N62"/>
  <c r="M62"/>
  <c r="L62"/>
  <c r="K62"/>
  <c r="J62"/>
  <c r="I62"/>
  <c r="H62"/>
  <c r="G62"/>
  <c r="F62"/>
  <c r="U61"/>
  <c r="T61"/>
  <c r="S61"/>
  <c r="R61"/>
  <c r="Q61"/>
  <c r="P61"/>
  <c r="O61"/>
  <c r="N61"/>
  <c r="M61"/>
  <c r="L61"/>
  <c r="K61"/>
  <c r="J61"/>
  <c r="I61"/>
  <c r="H61"/>
  <c r="G61"/>
  <c r="F61"/>
  <c r="U60"/>
  <c r="T60"/>
  <c r="S60"/>
  <c r="R60"/>
  <c r="Q60"/>
  <c r="P60"/>
  <c r="O60"/>
  <c r="N60"/>
  <c r="M60"/>
  <c r="L60"/>
  <c r="K60"/>
  <c r="J60"/>
  <c r="I60"/>
  <c r="H60"/>
  <c r="G60"/>
  <c r="F60"/>
  <c r="U59"/>
  <c r="T59"/>
  <c r="S59"/>
  <c r="R59"/>
  <c r="Q59"/>
  <c r="P59"/>
  <c r="O59"/>
  <c r="N59"/>
  <c r="M59"/>
  <c r="L59"/>
  <c r="K59"/>
  <c r="J59"/>
  <c r="I59"/>
  <c r="H59"/>
  <c r="G59"/>
  <c r="F59"/>
  <c r="U58"/>
  <c r="T58"/>
  <c r="S58"/>
  <c r="R58"/>
  <c r="Q58"/>
  <c r="P58"/>
  <c r="O58"/>
  <c r="N58"/>
  <c r="M58"/>
  <c r="L58"/>
  <c r="K58"/>
  <c r="J58"/>
  <c r="I58"/>
  <c r="H58"/>
  <c r="G58"/>
  <c r="F58"/>
  <c r="U57"/>
  <c r="T57"/>
  <c r="S57"/>
  <c r="R57"/>
  <c r="Q57"/>
  <c r="P57"/>
  <c r="O57"/>
  <c r="N57"/>
  <c r="M57"/>
  <c r="L57"/>
  <c r="K57"/>
  <c r="J57"/>
  <c r="I57"/>
  <c r="H57"/>
  <c r="G57"/>
  <c r="F57"/>
  <c r="U56"/>
  <c r="T56"/>
  <c r="S56"/>
  <c r="R56"/>
  <c r="Q56"/>
  <c r="P56"/>
  <c r="O56"/>
  <c r="N56"/>
  <c r="M56"/>
  <c r="L56"/>
  <c r="K56"/>
  <c r="J56"/>
  <c r="I56"/>
  <c r="H56"/>
  <c r="G56"/>
  <c r="F56"/>
  <c r="U55"/>
  <c r="T55"/>
  <c r="S55"/>
  <c r="R55"/>
  <c r="Q55"/>
  <c r="P55"/>
  <c r="O55"/>
  <c r="N55"/>
  <c r="M55"/>
  <c r="L55"/>
  <c r="K55"/>
  <c r="J55"/>
  <c r="I55"/>
  <c r="H55"/>
  <c r="G55"/>
  <c r="F55"/>
  <c r="U54"/>
  <c r="T54"/>
  <c r="S54"/>
  <c r="R54"/>
  <c r="Q54"/>
  <c r="P54"/>
  <c r="O54"/>
  <c r="N54"/>
  <c r="M54"/>
  <c r="L54"/>
  <c r="K54"/>
  <c r="J54"/>
  <c r="I54"/>
  <c r="H54"/>
  <c r="G54"/>
  <c r="F54"/>
  <c r="U53"/>
  <c r="T53"/>
  <c r="S53"/>
  <c r="R53"/>
  <c r="Q53"/>
  <c r="P53"/>
  <c r="O53"/>
  <c r="N53"/>
  <c r="M53"/>
  <c r="L53"/>
  <c r="K53"/>
  <c r="J53"/>
  <c r="I53"/>
  <c r="H53"/>
  <c r="G53"/>
  <c r="F53"/>
  <c r="U52"/>
  <c r="T52"/>
  <c r="S52"/>
  <c r="R52"/>
  <c r="Q52"/>
  <c r="P52"/>
  <c r="O52"/>
  <c r="N52"/>
  <c r="M52"/>
  <c r="L52"/>
  <c r="K52"/>
  <c r="J52"/>
  <c r="I52"/>
  <c r="H52"/>
  <c r="G52"/>
  <c r="F52"/>
  <c r="U51"/>
  <c r="T51"/>
  <c r="S51"/>
  <c r="R51"/>
  <c r="Q51"/>
  <c r="P51"/>
  <c r="O51"/>
  <c r="N51"/>
  <c r="M51"/>
  <c r="L51"/>
  <c r="K51"/>
  <c r="J51"/>
  <c r="I51"/>
  <c r="H51"/>
  <c r="G51"/>
  <c r="F51"/>
  <c r="U50"/>
  <c r="T50"/>
  <c r="S50"/>
  <c r="R50"/>
  <c r="Q50"/>
  <c r="P50"/>
  <c r="O50"/>
  <c r="N50"/>
  <c r="M50"/>
  <c r="L50"/>
  <c r="K50"/>
  <c r="J50"/>
  <c r="I50"/>
  <c r="H50"/>
  <c r="G50"/>
  <c r="F50"/>
  <c r="U49"/>
  <c r="T49"/>
  <c r="S49"/>
  <c r="R49"/>
  <c r="Q49"/>
  <c r="P49"/>
  <c r="O49"/>
  <c r="N49"/>
  <c r="M49"/>
  <c r="L49"/>
  <c r="K49"/>
  <c r="J49"/>
  <c r="I49"/>
  <c r="H49"/>
  <c r="G49"/>
  <c r="F49"/>
  <c r="U48"/>
  <c r="T48"/>
  <c r="S48"/>
  <c r="R48"/>
  <c r="Q48"/>
  <c r="P48"/>
  <c r="O48"/>
  <c r="N48"/>
  <c r="M48"/>
  <c r="L48"/>
  <c r="K48"/>
  <c r="J48"/>
  <c r="I48"/>
  <c r="H48"/>
  <c r="G48"/>
  <c r="F48"/>
  <c r="U47"/>
  <c r="T47"/>
  <c r="S47"/>
  <c r="R47"/>
  <c r="Q47"/>
  <c r="P47"/>
  <c r="O47"/>
  <c r="N47"/>
  <c r="M47"/>
  <c r="L47"/>
  <c r="K47"/>
  <c r="J47"/>
  <c r="I47"/>
  <c r="H47"/>
  <c r="G47"/>
  <c r="F47"/>
  <c r="U46"/>
  <c r="T46"/>
  <c r="S46"/>
  <c r="R46"/>
  <c r="Q46"/>
  <c r="P46"/>
  <c r="O46"/>
  <c r="N46"/>
  <c r="M46"/>
  <c r="L46"/>
  <c r="K46"/>
  <c r="J46"/>
  <c r="I46"/>
  <c r="H46"/>
  <c r="G46"/>
  <c r="F46"/>
  <c r="U45"/>
  <c r="T45"/>
  <c r="S45"/>
  <c r="R45"/>
  <c r="Q45"/>
  <c r="P45"/>
  <c r="O45"/>
  <c r="N45"/>
  <c r="M45"/>
  <c r="L45"/>
  <c r="K45"/>
  <c r="J45"/>
  <c r="I45"/>
  <c r="H45"/>
  <c r="G45"/>
  <c r="F45"/>
  <c r="U44"/>
  <c r="T44"/>
  <c r="S44"/>
  <c r="R44"/>
  <c r="Q44"/>
  <c r="P44"/>
  <c r="O44"/>
  <c r="N44"/>
  <c r="M44"/>
  <c r="L44"/>
  <c r="K44"/>
  <c r="J44"/>
  <c r="I44"/>
  <c r="H44"/>
  <c r="G44"/>
  <c r="F44"/>
  <c r="U43"/>
  <c r="T43"/>
  <c r="S43"/>
  <c r="R43"/>
  <c r="Q43"/>
  <c r="P43"/>
  <c r="O43"/>
  <c r="N43"/>
  <c r="M43"/>
  <c r="L43"/>
  <c r="K43"/>
  <c r="J43"/>
  <c r="I43"/>
  <c r="H43"/>
  <c r="G43"/>
  <c r="F43"/>
  <c r="U42"/>
  <c r="T42"/>
  <c r="S42"/>
  <c r="R42"/>
  <c r="Q42"/>
  <c r="P42"/>
  <c r="O42"/>
  <c r="N42"/>
  <c r="M42"/>
  <c r="L42"/>
  <c r="K42"/>
  <c r="J42"/>
  <c r="I42"/>
  <c r="H42"/>
  <c r="G42"/>
  <c r="F42"/>
  <c r="U41"/>
  <c r="T41"/>
  <c r="S41"/>
  <c r="R41"/>
  <c r="Q41"/>
  <c r="P41"/>
  <c r="O41"/>
  <c r="N41"/>
  <c r="M41"/>
  <c r="L41"/>
  <c r="K41"/>
  <c r="J41"/>
  <c r="I41"/>
  <c r="H41"/>
  <c r="G41"/>
  <c r="F41"/>
  <c r="U40"/>
  <c r="T40"/>
  <c r="S40"/>
  <c r="R40"/>
  <c r="Q40"/>
  <c r="P40"/>
  <c r="O40"/>
  <c r="N40"/>
  <c r="M40"/>
  <c r="L40"/>
  <c r="K40"/>
  <c r="J40"/>
  <c r="I40"/>
  <c r="H40"/>
  <c r="G40"/>
  <c r="F40"/>
  <c r="U39"/>
  <c r="T39"/>
  <c r="S39"/>
  <c r="R39"/>
  <c r="Q39"/>
  <c r="P39"/>
  <c r="O39"/>
  <c r="N39"/>
  <c r="M39"/>
  <c r="L39"/>
  <c r="K39"/>
  <c r="J39"/>
  <c r="I39"/>
  <c r="H39"/>
  <c r="G39"/>
  <c r="F39"/>
  <c r="U38"/>
  <c r="T38"/>
  <c r="S38"/>
  <c r="R38"/>
  <c r="Q38"/>
  <c r="P38"/>
  <c r="O38"/>
  <c r="N38"/>
  <c r="M38"/>
  <c r="L38"/>
  <c r="K38"/>
  <c r="J38"/>
  <c r="I38"/>
  <c r="H38"/>
  <c r="G38"/>
  <c r="F38"/>
  <c r="U37"/>
  <c r="T37"/>
  <c r="S37"/>
  <c r="R37"/>
  <c r="Q37"/>
  <c r="P37"/>
  <c r="O37"/>
  <c r="N37"/>
  <c r="M37"/>
  <c r="L37"/>
  <c r="K37"/>
  <c r="J37"/>
  <c r="I37"/>
  <c r="H37"/>
  <c r="G37"/>
  <c r="F37"/>
  <c r="U36"/>
  <c r="T36"/>
  <c r="S36"/>
  <c r="R36"/>
  <c r="Q36"/>
  <c r="P36"/>
  <c r="O36"/>
  <c r="N36"/>
  <c r="M36"/>
  <c r="L36"/>
  <c r="K36"/>
  <c r="J36"/>
  <c r="I36"/>
  <c r="H36"/>
  <c r="G36"/>
  <c r="F36"/>
  <c r="U35"/>
  <c r="T35"/>
  <c r="S35"/>
  <c r="R35"/>
  <c r="Q35"/>
  <c r="P35"/>
  <c r="O35"/>
  <c r="N35"/>
  <c r="M35"/>
  <c r="L35"/>
  <c r="K35"/>
  <c r="J35"/>
  <c r="I35"/>
  <c r="H35"/>
  <c r="G35"/>
  <c r="F35"/>
  <c r="U34"/>
  <c r="T34"/>
  <c r="S34"/>
  <c r="R34"/>
  <c r="Q34"/>
  <c r="P34"/>
  <c r="O34"/>
  <c r="N34"/>
  <c r="M34"/>
  <c r="L34"/>
  <c r="K34"/>
  <c r="J34"/>
  <c r="I34"/>
  <c r="H34"/>
  <c r="G34"/>
  <c r="F34"/>
  <c r="U33"/>
  <c r="T33"/>
  <c r="S33"/>
  <c r="R33"/>
  <c r="Q33"/>
  <c r="P33"/>
  <c r="O33"/>
  <c r="N33"/>
  <c r="M33"/>
  <c r="L33"/>
  <c r="K33"/>
  <c r="J33"/>
  <c r="I33"/>
  <c r="H33"/>
  <c r="G33"/>
  <c r="F33"/>
  <c r="U32"/>
  <c r="T32"/>
  <c r="S32"/>
  <c r="R32"/>
  <c r="Q32"/>
  <c r="P32"/>
  <c r="O32"/>
  <c r="N32"/>
  <c r="M32"/>
  <c r="L32"/>
  <c r="K32"/>
  <c r="J32"/>
  <c r="I32"/>
  <c r="H32"/>
  <c r="G32"/>
  <c r="F32"/>
  <c r="U31"/>
  <c r="T31"/>
  <c r="S31"/>
  <c r="R31"/>
  <c r="Q31"/>
  <c r="P31"/>
  <c r="O31"/>
  <c r="N31"/>
  <c r="M31"/>
  <c r="L31"/>
  <c r="K31"/>
  <c r="J31"/>
  <c r="I31"/>
  <c r="H31"/>
  <c r="G31"/>
  <c r="F31"/>
  <c r="U30"/>
  <c r="T30"/>
  <c r="S30"/>
  <c r="R30"/>
  <c r="Q30"/>
  <c r="P30"/>
  <c r="O30"/>
  <c r="N30"/>
  <c r="M30"/>
  <c r="L30"/>
  <c r="K30"/>
  <c r="J30"/>
  <c r="I30"/>
  <c r="H30"/>
  <c r="G30"/>
  <c r="F30"/>
  <c r="U29"/>
  <c r="T29"/>
  <c r="S29"/>
  <c r="R29"/>
  <c r="Q29"/>
  <c r="P29"/>
  <c r="O29"/>
  <c r="N29"/>
  <c r="M29"/>
  <c r="L29"/>
  <c r="K29"/>
  <c r="J29"/>
  <c r="I29"/>
  <c r="H29"/>
  <c r="G29"/>
  <c r="F29"/>
  <c r="U28"/>
  <c r="T28"/>
  <c r="S28"/>
  <c r="R28"/>
  <c r="Q28"/>
  <c r="P28"/>
  <c r="O28"/>
  <c r="N28"/>
  <c r="M28"/>
  <c r="L28"/>
  <c r="K28"/>
  <c r="J28"/>
  <c r="I28"/>
  <c r="H28"/>
  <c r="G28"/>
  <c r="F28"/>
  <c r="U27"/>
  <c r="T27"/>
  <c r="S27"/>
  <c r="R27"/>
  <c r="Q27"/>
  <c r="P27"/>
  <c r="O27"/>
  <c r="N27"/>
  <c r="M27"/>
  <c r="L27"/>
  <c r="K27"/>
  <c r="J27"/>
  <c r="I27"/>
  <c r="H27"/>
  <c r="G27"/>
  <c r="F27"/>
  <c r="U26"/>
  <c r="T26"/>
  <c r="S26"/>
  <c r="R26"/>
  <c r="Q26"/>
  <c r="P26"/>
  <c r="O26"/>
  <c r="N26"/>
  <c r="M26"/>
  <c r="L26"/>
  <c r="K26"/>
  <c r="J26"/>
  <c r="I26"/>
  <c r="H26"/>
  <c r="G26"/>
  <c r="F26"/>
  <c r="U25"/>
  <c r="T25"/>
  <c r="S25"/>
  <c r="R25"/>
  <c r="Q25"/>
  <c r="P25"/>
  <c r="O25"/>
  <c r="N25"/>
  <c r="M25"/>
  <c r="L25"/>
  <c r="K25"/>
  <c r="J25"/>
  <c r="I25"/>
  <c r="H25"/>
  <c r="G25"/>
  <c r="F25"/>
  <c r="U24"/>
  <c r="T24"/>
  <c r="S24"/>
  <c r="R24"/>
  <c r="Q24"/>
  <c r="P24"/>
  <c r="O24"/>
  <c r="N24"/>
  <c r="M24"/>
  <c r="L24"/>
  <c r="K24"/>
  <c r="J24"/>
  <c r="I24"/>
  <c r="H24"/>
  <c r="G24"/>
  <c r="F24"/>
  <c r="U23"/>
  <c r="T23"/>
  <c r="S23"/>
  <c r="R23"/>
  <c r="Q23"/>
  <c r="P23"/>
  <c r="O23"/>
  <c r="N23"/>
  <c r="M23"/>
  <c r="L23"/>
  <c r="K23"/>
  <c r="J23"/>
  <c r="I23"/>
  <c r="H23"/>
  <c r="G23"/>
  <c r="F23"/>
  <c r="U22"/>
  <c r="T22"/>
  <c r="S22"/>
  <c r="R22"/>
  <c r="Q22"/>
  <c r="P22"/>
  <c r="O22"/>
  <c r="N22"/>
  <c r="M22"/>
  <c r="L22"/>
  <c r="K22"/>
  <c r="J22"/>
  <c r="I22"/>
  <c r="H22"/>
  <c r="G22"/>
  <c r="F22"/>
  <c r="U21"/>
  <c r="T21"/>
  <c r="S21"/>
  <c r="R21"/>
  <c r="Q21"/>
  <c r="P21"/>
  <c r="O21"/>
  <c r="N21"/>
  <c r="M21"/>
  <c r="L21"/>
  <c r="K21"/>
  <c r="J21"/>
  <c r="I21"/>
  <c r="H21"/>
  <c r="G21"/>
  <c r="F21"/>
  <c r="U20"/>
  <c r="T20"/>
  <c r="S20"/>
  <c r="R20"/>
  <c r="Q20"/>
  <c r="P20"/>
  <c r="O20"/>
  <c r="N20"/>
  <c r="M20"/>
  <c r="L20"/>
  <c r="K20"/>
  <c r="J20"/>
  <c r="I20"/>
  <c r="H20"/>
  <c r="G20"/>
  <c r="F20"/>
  <c r="U19"/>
  <c r="T19"/>
  <c r="S19"/>
  <c r="R19"/>
  <c r="Q19"/>
  <c r="P19"/>
  <c r="O19"/>
  <c r="N19"/>
  <c r="M19"/>
  <c r="L19"/>
  <c r="K19"/>
  <c r="J19"/>
  <c r="I19"/>
  <c r="H19"/>
  <c r="G19"/>
  <c r="F19"/>
  <c r="U18"/>
  <c r="T18"/>
  <c r="S18"/>
  <c r="R18"/>
  <c r="Q18"/>
  <c r="P18"/>
  <c r="O18"/>
  <c r="N18"/>
  <c r="M18"/>
  <c r="L18"/>
  <c r="K18"/>
  <c r="J18"/>
  <c r="I18"/>
  <c r="H18"/>
  <c r="G18"/>
  <c r="F18"/>
  <c r="U17"/>
  <c r="T17"/>
  <c r="S17"/>
  <c r="R17"/>
  <c r="Q17"/>
  <c r="P17"/>
  <c r="O17"/>
  <c r="N17"/>
  <c r="M17"/>
  <c r="L17"/>
  <c r="K17"/>
  <c r="J17"/>
  <c r="I17"/>
  <c r="H17"/>
  <c r="G17"/>
  <c r="F17"/>
  <c r="U16"/>
  <c r="T16"/>
  <c r="S16"/>
  <c r="R16"/>
  <c r="Q16"/>
  <c r="P16"/>
  <c r="O16"/>
  <c r="N16"/>
  <c r="M16"/>
  <c r="L16"/>
  <c r="K16"/>
  <c r="J16"/>
  <c r="I16"/>
  <c r="H16"/>
  <c r="G16"/>
  <c r="F16"/>
  <c r="U15"/>
  <c r="T15"/>
  <c r="S15"/>
  <c r="R15"/>
  <c r="Q15"/>
  <c r="P15"/>
  <c r="O15"/>
  <c r="N15"/>
  <c r="M15"/>
  <c r="L15"/>
  <c r="K15"/>
  <c r="J15"/>
  <c r="I15"/>
  <c r="H15"/>
  <c r="G15"/>
  <c r="F15"/>
  <c r="U14"/>
  <c r="T14"/>
  <c r="S14"/>
  <c r="R14"/>
  <c r="Q14"/>
  <c r="P14"/>
  <c r="O14"/>
  <c r="N14"/>
  <c r="M14"/>
  <c r="L14"/>
  <c r="K14"/>
  <c r="J14"/>
  <c r="I14"/>
  <c r="H14"/>
  <c r="G14"/>
  <c r="F14"/>
  <c r="U13"/>
  <c r="T13"/>
  <c r="S13"/>
  <c r="R13"/>
  <c r="Q13"/>
  <c r="P13"/>
  <c r="O13"/>
  <c r="N13"/>
  <c r="M13"/>
  <c r="L13"/>
  <c r="K13"/>
  <c r="J13"/>
  <c r="I13"/>
  <c r="H13"/>
  <c r="G13"/>
  <c r="F13"/>
  <c r="U12"/>
  <c r="T12"/>
  <c r="S12"/>
  <c r="R12"/>
  <c r="Q12"/>
  <c r="P12"/>
  <c r="O12"/>
  <c r="N12"/>
  <c r="M12"/>
  <c r="L12"/>
  <c r="K12"/>
  <c r="J12"/>
  <c r="I12"/>
  <c r="H12"/>
  <c r="G12"/>
  <c r="F12"/>
  <c r="U11"/>
  <c r="T11"/>
  <c r="S11"/>
  <c r="R11"/>
  <c r="Q11"/>
  <c r="P11"/>
  <c r="O11"/>
  <c r="N11"/>
  <c r="M11"/>
  <c r="L11"/>
  <c r="K11"/>
  <c r="J11"/>
  <c r="I11"/>
  <c r="H11"/>
  <c r="G11"/>
  <c r="F11"/>
  <c r="U10"/>
  <c r="T10"/>
  <c r="S10"/>
  <c r="R10"/>
  <c r="Q10"/>
  <c r="P10"/>
  <c r="O10"/>
  <c r="N10"/>
  <c r="M10"/>
  <c r="L10"/>
  <c r="K10"/>
  <c r="J10"/>
  <c r="I10"/>
  <c r="H10"/>
  <c r="G10"/>
  <c r="F10"/>
  <c r="U9"/>
  <c r="T9"/>
  <c r="S9"/>
  <c r="R9"/>
  <c r="Q9"/>
  <c r="P9"/>
  <c r="O9"/>
  <c r="N9"/>
  <c r="M9"/>
  <c r="L9"/>
  <c r="K9"/>
  <c r="J9"/>
  <c r="I9"/>
  <c r="H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V105" i="27"/>
  <c r="U105"/>
  <c r="T105"/>
  <c r="S105"/>
  <c r="R105"/>
  <c r="Q105"/>
  <c r="P105"/>
  <c r="O105"/>
  <c r="N105"/>
  <c r="M105"/>
  <c r="L105"/>
  <c r="K105"/>
  <c r="J105"/>
  <c r="I105"/>
  <c r="H105"/>
  <c r="G105"/>
  <c r="V104"/>
  <c r="U104"/>
  <c r="T104"/>
  <c r="S104"/>
  <c r="R104"/>
  <c r="Q104"/>
  <c r="P104"/>
  <c r="O104"/>
  <c r="N104"/>
  <c r="M104"/>
  <c r="L104"/>
  <c r="K104"/>
  <c r="J104"/>
  <c r="I104"/>
  <c r="H104"/>
  <c r="G104"/>
  <c r="V103"/>
  <c r="U103"/>
  <c r="T103"/>
  <c r="S103"/>
  <c r="R103"/>
  <c r="Q103"/>
  <c r="P103"/>
  <c r="O103"/>
  <c r="N103"/>
  <c r="M103"/>
  <c r="L103"/>
  <c r="K103"/>
  <c r="J103"/>
  <c r="I103"/>
  <c r="H103"/>
  <c r="G103"/>
  <c r="V102"/>
  <c r="U102"/>
  <c r="T102"/>
  <c r="S102"/>
  <c r="R102"/>
  <c r="Q102"/>
  <c r="P102"/>
  <c r="O102"/>
  <c r="N102"/>
  <c r="M102"/>
  <c r="L102"/>
  <c r="K102"/>
  <c r="J102"/>
  <c r="I102"/>
  <c r="H102"/>
  <c r="G102"/>
  <c r="V101"/>
  <c r="U101"/>
  <c r="T101"/>
  <c r="S101"/>
  <c r="R101"/>
  <c r="Q101"/>
  <c r="P101"/>
  <c r="O101"/>
  <c r="N101"/>
  <c r="M101"/>
  <c r="L101"/>
  <c r="K101"/>
  <c r="J101"/>
  <c r="I101"/>
  <c r="H101"/>
  <c r="G101"/>
  <c r="V100"/>
  <c r="U100"/>
  <c r="T100"/>
  <c r="S100"/>
  <c r="R100"/>
  <c r="Q100"/>
  <c r="P100"/>
  <c r="O100"/>
  <c r="N100"/>
  <c r="M100"/>
  <c r="L100"/>
  <c r="K100"/>
  <c r="J100"/>
  <c r="I100"/>
  <c r="H100"/>
  <c r="G100"/>
  <c r="V99"/>
  <c r="U99"/>
  <c r="T99"/>
  <c r="S99"/>
  <c r="R99"/>
  <c r="Q99"/>
  <c r="P99"/>
  <c r="O99"/>
  <c r="N99"/>
  <c r="M99"/>
  <c r="L99"/>
  <c r="K99"/>
  <c r="J99"/>
  <c r="I99"/>
  <c r="H99"/>
  <c r="G99"/>
  <c r="V98"/>
  <c r="U98"/>
  <c r="T98"/>
  <c r="S98"/>
  <c r="R98"/>
  <c r="Q98"/>
  <c r="P98"/>
  <c r="O98"/>
  <c r="N98"/>
  <c r="M98"/>
  <c r="L98"/>
  <c r="K98"/>
  <c r="J98"/>
  <c r="I98"/>
  <c r="H98"/>
  <c r="G98"/>
  <c r="V97"/>
  <c r="U97"/>
  <c r="T97"/>
  <c r="S97"/>
  <c r="R97"/>
  <c r="Q97"/>
  <c r="P97"/>
  <c r="O97"/>
  <c r="N97"/>
  <c r="M97"/>
  <c r="L97"/>
  <c r="K97"/>
  <c r="J97"/>
  <c r="I97"/>
  <c r="H97"/>
  <c r="G97"/>
  <c r="V96"/>
  <c r="U96"/>
  <c r="T96"/>
  <c r="S96"/>
  <c r="R96"/>
  <c r="Q96"/>
  <c r="P96"/>
  <c r="O96"/>
  <c r="N96"/>
  <c r="M96"/>
  <c r="L96"/>
  <c r="K96"/>
  <c r="J96"/>
  <c r="I96"/>
  <c r="H96"/>
  <c r="G96"/>
  <c r="V95"/>
  <c r="U95"/>
  <c r="T95"/>
  <c r="S95"/>
  <c r="R95"/>
  <c r="Q95"/>
  <c r="P95"/>
  <c r="O95"/>
  <c r="N95"/>
  <c r="M95"/>
  <c r="L95"/>
  <c r="K95"/>
  <c r="J95"/>
  <c r="I95"/>
  <c r="H95"/>
  <c r="G95"/>
  <c r="V94"/>
  <c r="U94"/>
  <c r="T94"/>
  <c r="S94"/>
  <c r="R94"/>
  <c r="Q94"/>
  <c r="P94"/>
  <c r="O94"/>
  <c r="N94"/>
  <c r="M94"/>
  <c r="L94"/>
  <c r="K94"/>
  <c r="J94"/>
  <c r="I94"/>
  <c r="H94"/>
  <c r="G94"/>
  <c r="V93"/>
  <c r="U93"/>
  <c r="T93"/>
  <c r="S93"/>
  <c r="R93"/>
  <c r="Q93"/>
  <c r="P93"/>
  <c r="O93"/>
  <c r="N93"/>
  <c r="M93"/>
  <c r="L93"/>
  <c r="K93"/>
  <c r="J93"/>
  <c r="I93"/>
  <c r="H93"/>
  <c r="G93"/>
  <c r="V92"/>
  <c r="U92"/>
  <c r="T92"/>
  <c r="S92"/>
  <c r="R92"/>
  <c r="Q92"/>
  <c r="P92"/>
  <c r="O92"/>
  <c r="N92"/>
  <c r="M92"/>
  <c r="L92"/>
  <c r="K92"/>
  <c r="J92"/>
  <c r="I92"/>
  <c r="H92"/>
  <c r="G92"/>
  <c r="V91"/>
  <c r="U91"/>
  <c r="T91"/>
  <c r="S91"/>
  <c r="R91"/>
  <c r="Q91"/>
  <c r="P91"/>
  <c r="O91"/>
  <c r="N91"/>
  <c r="M91"/>
  <c r="L91"/>
  <c r="K91"/>
  <c r="J91"/>
  <c r="I91"/>
  <c r="H91"/>
  <c r="G91"/>
  <c r="V90"/>
  <c r="U90"/>
  <c r="T90"/>
  <c r="S90"/>
  <c r="R90"/>
  <c r="Q90"/>
  <c r="P90"/>
  <c r="O90"/>
  <c r="N90"/>
  <c r="M90"/>
  <c r="L90"/>
  <c r="K90"/>
  <c r="J90"/>
  <c r="I90"/>
  <c r="H90"/>
  <c r="G90"/>
  <c r="V89"/>
  <c r="U89"/>
  <c r="T89"/>
  <c r="S89"/>
  <c r="R89"/>
  <c r="Q89"/>
  <c r="P89"/>
  <c r="O89"/>
  <c r="N89"/>
  <c r="M89"/>
  <c r="L89"/>
  <c r="K89"/>
  <c r="J89"/>
  <c r="I89"/>
  <c r="H89"/>
  <c r="G89"/>
  <c r="V88"/>
  <c r="U88"/>
  <c r="T88"/>
  <c r="S88"/>
  <c r="R88"/>
  <c r="Q88"/>
  <c r="P88"/>
  <c r="O88"/>
  <c r="N88"/>
  <c r="M88"/>
  <c r="L88"/>
  <c r="K88"/>
  <c r="J88"/>
  <c r="I88"/>
  <c r="H88"/>
  <c r="G88"/>
  <c r="V87"/>
  <c r="U87"/>
  <c r="T87"/>
  <c r="S87"/>
  <c r="R87"/>
  <c r="Q87"/>
  <c r="P87"/>
  <c r="O87"/>
  <c r="N87"/>
  <c r="M87"/>
  <c r="L87"/>
  <c r="K87"/>
  <c r="J87"/>
  <c r="I87"/>
  <c r="H87"/>
  <c r="G87"/>
  <c r="V86"/>
  <c r="U86"/>
  <c r="T86"/>
  <c r="S86"/>
  <c r="R86"/>
  <c r="Q86"/>
  <c r="P86"/>
  <c r="O86"/>
  <c r="N86"/>
  <c r="M86"/>
  <c r="L86"/>
  <c r="K86"/>
  <c r="J86"/>
  <c r="I86"/>
  <c r="H86"/>
  <c r="G86"/>
  <c r="V85"/>
  <c r="U85"/>
  <c r="T85"/>
  <c r="S85"/>
  <c r="R85"/>
  <c r="Q85"/>
  <c r="P85"/>
  <c r="O85"/>
  <c r="N85"/>
  <c r="M85"/>
  <c r="L85"/>
  <c r="K85"/>
  <c r="J85"/>
  <c r="I85"/>
  <c r="H85"/>
  <c r="G85"/>
  <c r="V84"/>
  <c r="U84"/>
  <c r="T84"/>
  <c r="S84"/>
  <c r="R84"/>
  <c r="Q84"/>
  <c r="P84"/>
  <c r="O84"/>
  <c r="N84"/>
  <c r="M84"/>
  <c r="L84"/>
  <c r="K84"/>
  <c r="J84"/>
  <c r="I84"/>
  <c r="H84"/>
  <c r="G84"/>
  <c r="V83"/>
  <c r="U83"/>
  <c r="T83"/>
  <c r="S83"/>
  <c r="R83"/>
  <c r="Q83"/>
  <c r="P83"/>
  <c r="O83"/>
  <c r="N83"/>
  <c r="M83"/>
  <c r="L83"/>
  <c r="K83"/>
  <c r="J83"/>
  <c r="I83"/>
  <c r="H83"/>
  <c r="G83"/>
  <c r="V82"/>
  <c r="U82"/>
  <c r="T82"/>
  <c r="S82"/>
  <c r="R82"/>
  <c r="Q82"/>
  <c r="P82"/>
  <c r="O82"/>
  <c r="N82"/>
  <c r="M82"/>
  <c r="L82"/>
  <c r="K82"/>
  <c r="J82"/>
  <c r="I82"/>
  <c r="H82"/>
  <c r="G82"/>
  <c r="V81"/>
  <c r="U81"/>
  <c r="T81"/>
  <c r="S81"/>
  <c r="R81"/>
  <c r="Q81"/>
  <c r="P81"/>
  <c r="O81"/>
  <c r="N81"/>
  <c r="M81"/>
  <c r="L81"/>
  <c r="K81"/>
  <c r="J81"/>
  <c r="I81"/>
  <c r="H81"/>
  <c r="G81"/>
  <c r="V80"/>
  <c r="U80"/>
  <c r="T80"/>
  <c r="S80"/>
  <c r="R80"/>
  <c r="Q80"/>
  <c r="P80"/>
  <c r="O80"/>
  <c r="N80"/>
  <c r="M80"/>
  <c r="L80"/>
  <c r="K80"/>
  <c r="J80"/>
  <c r="I80"/>
  <c r="H80"/>
  <c r="G80"/>
  <c r="V79"/>
  <c r="U79"/>
  <c r="T79"/>
  <c r="S79"/>
  <c r="R79"/>
  <c r="Q79"/>
  <c r="P79"/>
  <c r="O79"/>
  <c r="N79"/>
  <c r="M79"/>
  <c r="L79"/>
  <c r="K79"/>
  <c r="J79"/>
  <c r="I79"/>
  <c r="H79"/>
  <c r="G79"/>
  <c r="V78"/>
  <c r="U78"/>
  <c r="T78"/>
  <c r="S78"/>
  <c r="R78"/>
  <c r="Q78"/>
  <c r="P78"/>
  <c r="O78"/>
  <c r="N78"/>
  <c r="M78"/>
  <c r="L78"/>
  <c r="K78"/>
  <c r="J78"/>
  <c r="I78"/>
  <c r="H78"/>
  <c r="G78"/>
  <c r="V77"/>
  <c r="U77"/>
  <c r="T77"/>
  <c r="S77"/>
  <c r="R77"/>
  <c r="Q77"/>
  <c r="P77"/>
  <c r="O77"/>
  <c r="N77"/>
  <c r="M77"/>
  <c r="L77"/>
  <c r="K77"/>
  <c r="J77"/>
  <c r="I77"/>
  <c r="H77"/>
  <c r="G77"/>
  <c r="V76"/>
  <c r="U76"/>
  <c r="T76"/>
  <c r="S76"/>
  <c r="R76"/>
  <c r="Q76"/>
  <c r="P76"/>
  <c r="O76"/>
  <c r="N76"/>
  <c r="M76"/>
  <c r="L76"/>
  <c r="K76"/>
  <c r="J76"/>
  <c r="I76"/>
  <c r="H76"/>
  <c r="G76"/>
  <c r="V75"/>
  <c r="U75"/>
  <c r="T75"/>
  <c r="S75"/>
  <c r="R75"/>
  <c r="Q75"/>
  <c r="P75"/>
  <c r="O75"/>
  <c r="N75"/>
  <c r="M75"/>
  <c r="L75"/>
  <c r="K75"/>
  <c r="J75"/>
  <c r="I75"/>
  <c r="H75"/>
  <c r="G75"/>
  <c r="V74"/>
  <c r="U74"/>
  <c r="T74"/>
  <c r="S74"/>
  <c r="R74"/>
  <c r="Q74"/>
  <c r="P74"/>
  <c r="O74"/>
  <c r="N74"/>
  <c r="M74"/>
  <c r="L74"/>
  <c r="K74"/>
  <c r="J74"/>
  <c r="I74"/>
  <c r="H74"/>
  <c r="G74"/>
  <c r="V73"/>
  <c r="U73"/>
  <c r="T73"/>
  <c r="S73"/>
  <c r="R73"/>
  <c r="Q73"/>
  <c r="P73"/>
  <c r="O73"/>
  <c r="N73"/>
  <c r="M73"/>
  <c r="L73"/>
  <c r="K73"/>
  <c r="J73"/>
  <c r="I73"/>
  <c r="H73"/>
  <c r="G73"/>
  <c r="V72"/>
  <c r="U72"/>
  <c r="T72"/>
  <c r="S72"/>
  <c r="R72"/>
  <c r="Q72"/>
  <c r="P72"/>
  <c r="O72"/>
  <c r="N72"/>
  <c r="M72"/>
  <c r="L72"/>
  <c r="K72"/>
  <c r="J72"/>
  <c r="I72"/>
  <c r="H72"/>
  <c r="G72"/>
  <c r="V71"/>
  <c r="U71"/>
  <c r="T71"/>
  <c r="S71"/>
  <c r="R71"/>
  <c r="Q71"/>
  <c r="P71"/>
  <c r="O71"/>
  <c r="N71"/>
  <c r="M71"/>
  <c r="L71"/>
  <c r="K71"/>
  <c r="J71"/>
  <c r="I71"/>
  <c r="H71"/>
  <c r="G71"/>
  <c r="V70"/>
  <c r="U70"/>
  <c r="T70"/>
  <c r="S70"/>
  <c r="R70"/>
  <c r="Q70"/>
  <c r="P70"/>
  <c r="O70"/>
  <c r="N70"/>
  <c r="M70"/>
  <c r="L70"/>
  <c r="K70"/>
  <c r="J70"/>
  <c r="I70"/>
  <c r="H70"/>
  <c r="G70"/>
  <c r="V69"/>
  <c r="U69"/>
  <c r="T69"/>
  <c r="S69"/>
  <c r="R69"/>
  <c r="Q69"/>
  <c r="P69"/>
  <c r="O69"/>
  <c r="N69"/>
  <c r="M69"/>
  <c r="L69"/>
  <c r="K69"/>
  <c r="J69"/>
  <c r="I69"/>
  <c r="H69"/>
  <c r="G69"/>
  <c r="V68"/>
  <c r="U68"/>
  <c r="T68"/>
  <c r="S68"/>
  <c r="R68"/>
  <c r="Q68"/>
  <c r="P68"/>
  <c r="O68"/>
  <c r="N68"/>
  <c r="M68"/>
  <c r="L68"/>
  <c r="K68"/>
  <c r="J68"/>
  <c r="I68"/>
  <c r="H68"/>
  <c r="G68"/>
  <c r="V67"/>
  <c r="U67"/>
  <c r="T67"/>
  <c r="S67"/>
  <c r="R67"/>
  <c r="Q67"/>
  <c r="P67"/>
  <c r="O67"/>
  <c r="N67"/>
  <c r="M67"/>
  <c r="L67"/>
  <c r="K67"/>
  <c r="J67"/>
  <c r="I67"/>
  <c r="H67"/>
  <c r="G67"/>
  <c r="V66"/>
  <c r="U66"/>
  <c r="T66"/>
  <c r="S66"/>
  <c r="R66"/>
  <c r="Q66"/>
  <c r="P66"/>
  <c r="O66"/>
  <c r="N66"/>
  <c r="M66"/>
  <c r="L66"/>
  <c r="K66"/>
  <c r="J66"/>
  <c r="I66"/>
  <c r="H66"/>
  <c r="G66"/>
  <c r="V65"/>
  <c r="U65"/>
  <c r="T65"/>
  <c r="S65"/>
  <c r="R65"/>
  <c r="Q65"/>
  <c r="P65"/>
  <c r="O65"/>
  <c r="N65"/>
  <c r="M65"/>
  <c r="L65"/>
  <c r="K65"/>
  <c r="J65"/>
  <c r="I65"/>
  <c r="H65"/>
  <c r="G65"/>
  <c r="V64"/>
  <c r="U64"/>
  <c r="T64"/>
  <c r="S64"/>
  <c r="R64"/>
  <c r="Q64"/>
  <c r="P64"/>
  <c r="O64"/>
  <c r="N64"/>
  <c r="M64"/>
  <c r="L64"/>
  <c r="K64"/>
  <c r="J64"/>
  <c r="I64"/>
  <c r="H64"/>
  <c r="G64"/>
  <c r="V63"/>
  <c r="U63"/>
  <c r="T63"/>
  <c r="S63"/>
  <c r="R63"/>
  <c r="Q63"/>
  <c r="P63"/>
  <c r="O63"/>
  <c r="N63"/>
  <c r="M63"/>
  <c r="L63"/>
  <c r="K63"/>
  <c r="J63"/>
  <c r="I63"/>
  <c r="H63"/>
  <c r="G63"/>
  <c r="V62"/>
  <c r="U62"/>
  <c r="T62"/>
  <c r="S62"/>
  <c r="R62"/>
  <c r="Q62"/>
  <c r="P62"/>
  <c r="O62"/>
  <c r="N62"/>
  <c r="M62"/>
  <c r="L62"/>
  <c r="K62"/>
  <c r="J62"/>
  <c r="I62"/>
  <c r="H62"/>
  <c r="G62"/>
  <c r="V61"/>
  <c r="U61"/>
  <c r="T61"/>
  <c r="S61"/>
  <c r="R61"/>
  <c r="Q61"/>
  <c r="P61"/>
  <c r="O61"/>
  <c r="N61"/>
  <c r="M61"/>
  <c r="L61"/>
  <c r="K61"/>
  <c r="J61"/>
  <c r="I61"/>
  <c r="H61"/>
  <c r="G61"/>
  <c r="V60"/>
  <c r="U60"/>
  <c r="T60"/>
  <c r="S60"/>
  <c r="R60"/>
  <c r="Q60"/>
  <c r="P60"/>
  <c r="O60"/>
  <c r="N60"/>
  <c r="M60"/>
  <c r="L60"/>
  <c r="K60"/>
  <c r="J60"/>
  <c r="I60"/>
  <c r="H60"/>
  <c r="G60"/>
  <c r="V59"/>
  <c r="U59"/>
  <c r="T59"/>
  <c r="S59"/>
  <c r="R59"/>
  <c r="Q59"/>
  <c r="P59"/>
  <c r="O59"/>
  <c r="N59"/>
  <c r="M59"/>
  <c r="L59"/>
  <c r="K59"/>
  <c r="J59"/>
  <c r="I59"/>
  <c r="H59"/>
  <c r="G59"/>
  <c r="V58"/>
  <c r="U58"/>
  <c r="T58"/>
  <c r="S58"/>
  <c r="R58"/>
  <c r="Q58"/>
  <c r="P58"/>
  <c r="O58"/>
  <c r="N58"/>
  <c r="M58"/>
  <c r="L58"/>
  <c r="K58"/>
  <c r="J58"/>
  <c r="I58"/>
  <c r="H58"/>
  <c r="G58"/>
  <c r="V57"/>
  <c r="U57"/>
  <c r="T57"/>
  <c r="S57"/>
  <c r="R57"/>
  <c r="Q57"/>
  <c r="P57"/>
  <c r="O57"/>
  <c r="N57"/>
  <c r="M57"/>
  <c r="L57"/>
  <c r="K57"/>
  <c r="J57"/>
  <c r="I57"/>
  <c r="H57"/>
  <c r="G57"/>
  <c r="V56"/>
  <c r="U56"/>
  <c r="T56"/>
  <c r="S56"/>
  <c r="R56"/>
  <c r="Q56"/>
  <c r="P56"/>
  <c r="O56"/>
  <c r="N56"/>
  <c r="M56"/>
  <c r="L56"/>
  <c r="K56"/>
  <c r="J56"/>
  <c r="I56"/>
  <c r="H56"/>
  <c r="G56"/>
  <c r="V55"/>
  <c r="U55"/>
  <c r="T55"/>
  <c r="S55"/>
  <c r="R55"/>
  <c r="Q55"/>
  <c r="P55"/>
  <c r="O55"/>
  <c r="N55"/>
  <c r="M55"/>
  <c r="L55"/>
  <c r="K55"/>
  <c r="J55"/>
  <c r="I55"/>
  <c r="H55"/>
  <c r="G55"/>
  <c r="V54"/>
  <c r="U54"/>
  <c r="T54"/>
  <c r="S54"/>
  <c r="R54"/>
  <c r="Q54"/>
  <c r="P54"/>
  <c r="O54"/>
  <c r="N54"/>
  <c r="M54"/>
  <c r="L54"/>
  <c r="K54"/>
  <c r="J54"/>
  <c r="I54"/>
  <c r="H54"/>
  <c r="G54"/>
  <c r="V53"/>
  <c r="U53"/>
  <c r="T53"/>
  <c r="S53"/>
  <c r="R53"/>
  <c r="Q53"/>
  <c r="P53"/>
  <c r="O53"/>
  <c r="N53"/>
  <c r="M53"/>
  <c r="L53"/>
  <c r="K53"/>
  <c r="J53"/>
  <c r="I53"/>
  <c r="H53"/>
  <c r="G53"/>
  <c r="V52"/>
  <c r="U52"/>
  <c r="T52"/>
  <c r="S52"/>
  <c r="R52"/>
  <c r="Q52"/>
  <c r="P52"/>
  <c r="O52"/>
  <c r="N52"/>
  <c r="M52"/>
  <c r="L52"/>
  <c r="K52"/>
  <c r="J52"/>
  <c r="I52"/>
  <c r="H52"/>
  <c r="G52"/>
  <c r="V51"/>
  <c r="U51"/>
  <c r="T51"/>
  <c r="S51"/>
  <c r="R51"/>
  <c r="Q51"/>
  <c r="P51"/>
  <c r="O51"/>
  <c r="N51"/>
  <c r="M51"/>
  <c r="L51"/>
  <c r="K51"/>
  <c r="J51"/>
  <c r="I51"/>
  <c r="H51"/>
  <c r="G51"/>
  <c r="V50"/>
  <c r="U50"/>
  <c r="T50"/>
  <c r="S50"/>
  <c r="R50"/>
  <c r="Q50"/>
  <c r="P50"/>
  <c r="O50"/>
  <c r="N50"/>
  <c r="M50"/>
  <c r="L50"/>
  <c r="K50"/>
  <c r="J50"/>
  <c r="I50"/>
  <c r="H50"/>
  <c r="G50"/>
  <c r="V49"/>
  <c r="U49"/>
  <c r="T49"/>
  <c r="S49"/>
  <c r="R49"/>
  <c r="Q49"/>
  <c r="P49"/>
  <c r="O49"/>
  <c r="N49"/>
  <c r="M49"/>
  <c r="L49"/>
  <c r="K49"/>
  <c r="J49"/>
  <c r="I49"/>
  <c r="H49"/>
  <c r="G49"/>
  <c r="V48"/>
  <c r="U48"/>
  <c r="T48"/>
  <c r="S48"/>
  <c r="R48"/>
  <c r="Q48"/>
  <c r="P48"/>
  <c r="O48"/>
  <c r="N48"/>
  <c r="M48"/>
  <c r="L48"/>
  <c r="K48"/>
  <c r="J48"/>
  <c r="I48"/>
  <c r="H48"/>
  <c r="G48"/>
  <c r="V47"/>
  <c r="U47"/>
  <c r="T47"/>
  <c r="S47"/>
  <c r="R47"/>
  <c r="Q47"/>
  <c r="P47"/>
  <c r="O47"/>
  <c r="N47"/>
  <c r="M47"/>
  <c r="L47"/>
  <c r="K47"/>
  <c r="J47"/>
  <c r="I47"/>
  <c r="H47"/>
  <c r="G47"/>
  <c r="V46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4"/>
  <c r="U44"/>
  <c r="T44"/>
  <c r="S44"/>
  <c r="R44"/>
  <c r="Q44"/>
  <c r="P44"/>
  <c r="O44"/>
  <c r="N44"/>
  <c r="M44"/>
  <c r="L44"/>
  <c r="K44"/>
  <c r="J44"/>
  <c r="I44"/>
  <c r="H44"/>
  <c r="G44"/>
  <c r="V43"/>
  <c r="U43"/>
  <c r="T43"/>
  <c r="S43"/>
  <c r="R43"/>
  <c r="Q43"/>
  <c r="P43"/>
  <c r="O43"/>
  <c r="N43"/>
  <c r="M43"/>
  <c r="L43"/>
  <c r="K43"/>
  <c r="J43"/>
  <c r="I43"/>
  <c r="H43"/>
  <c r="G43"/>
  <c r="V42"/>
  <c r="U42"/>
  <c r="T42"/>
  <c r="S42"/>
  <c r="R42"/>
  <c r="Q42"/>
  <c r="P42"/>
  <c r="O42"/>
  <c r="N42"/>
  <c r="M42"/>
  <c r="L42"/>
  <c r="K42"/>
  <c r="J42"/>
  <c r="I42"/>
  <c r="H42"/>
  <c r="G42"/>
  <c r="V41"/>
  <c r="U41"/>
  <c r="T41"/>
  <c r="S41"/>
  <c r="R41"/>
  <c r="Q41"/>
  <c r="P41"/>
  <c r="O41"/>
  <c r="N41"/>
  <c r="M41"/>
  <c r="L41"/>
  <c r="K41"/>
  <c r="J41"/>
  <c r="I41"/>
  <c r="H41"/>
  <c r="G41"/>
  <c r="V40"/>
  <c r="U40"/>
  <c r="T40"/>
  <c r="S40"/>
  <c r="R40"/>
  <c r="Q40"/>
  <c r="P40"/>
  <c r="O40"/>
  <c r="N40"/>
  <c r="M40"/>
  <c r="L40"/>
  <c r="K40"/>
  <c r="J40"/>
  <c r="I40"/>
  <c r="H40"/>
  <c r="G40"/>
  <c r="V39"/>
  <c r="U39"/>
  <c r="T39"/>
  <c r="S39"/>
  <c r="R39"/>
  <c r="Q39"/>
  <c r="P39"/>
  <c r="O39"/>
  <c r="N39"/>
  <c r="M39"/>
  <c r="L39"/>
  <c r="K39"/>
  <c r="J39"/>
  <c r="I39"/>
  <c r="H39"/>
  <c r="G39"/>
  <c r="V38"/>
  <c r="U38"/>
  <c r="T38"/>
  <c r="S38"/>
  <c r="R38"/>
  <c r="Q38"/>
  <c r="P38"/>
  <c r="O38"/>
  <c r="N38"/>
  <c r="M38"/>
  <c r="L38"/>
  <c r="K38"/>
  <c r="J38"/>
  <c r="I38"/>
  <c r="H38"/>
  <c r="G38"/>
  <c r="V37"/>
  <c r="U37"/>
  <c r="T37"/>
  <c r="S37"/>
  <c r="R37"/>
  <c r="Q37"/>
  <c r="P37"/>
  <c r="O37"/>
  <c r="N37"/>
  <c r="M37"/>
  <c r="L37"/>
  <c r="K37"/>
  <c r="J37"/>
  <c r="I37"/>
  <c r="H37"/>
  <c r="G37"/>
  <c r="V36"/>
  <c r="U36"/>
  <c r="T36"/>
  <c r="S36"/>
  <c r="R36"/>
  <c r="Q36"/>
  <c r="P36"/>
  <c r="O36"/>
  <c r="N36"/>
  <c r="M36"/>
  <c r="L36"/>
  <c r="K36"/>
  <c r="J36"/>
  <c r="I36"/>
  <c r="H36"/>
  <c r="G36"/>
  <c r="V35"/>
  <c r="U35"/>
  <c r="T35"/>
  <c r="S35"/>
  <c r="R35"/>
  <c r="Q35"/>
  <c r="P35"/>
  <c r="O35"/>
  <c r="N35"/>
  <c r="M35"/>
  <c r="L35"/>
  <c r="K35"/>
  <c r="J35"/>
  <c r="I35"/>
  <c r="H35"/>
  <c r="G35"/>
  <c r="V34"/>
  <c r="U34"/>
  <c r="T34"/>
  <c r="S34"/>
  <c r="R34"/>
  <c r="Q34"/>
  <c r="P34"/>
  <c r="O34"/>
  <c r="N34"/>
  <c r="M34"/>
  <c r="L34"/>
  <c r="K34"/>
  <c r="J34"/>
  <c r="I34"/>
  <c r="H34"/>
  <c r="G34"/>
  <c r="V33"/>
  <c r="U33"/>
  <c r="T33"/>
  <c r="S33"/>
  <c r="R33"/>
  <c r="Q33"/>
  <c r="P33"/>
  <c r="O33"/>
  <c r="N33"/>
  <c r="M33"/>
  <c r="L33"/>
  <c r="K33"/>
  <c r="J33"/>
  <c r="I33"/>
  <c r="H33"/>
  <c r="G33"/>
  <c r="V32"/>
  <c r="U32"/>
  <c r="T32"/>
  <c r="S32"/>
  <c r="R32"/>
  <c r="Q32"/>
  <c r="P32"/>
  <c r="O32"/>
  <c r="N32"/>
  <c r="M32"/>
  <c r="L32"/>
  <c r="K32"/>
  <c r="J32"/>
  <c r="I32"/>
  <c r="H32"/>
  <c r="G32"/>
  <c r="V31"/>
  <c r="U31"/>
  <c r="T31"/>
  <c r="S31"/>
  <c r="R31"/>
  <c r="Q31"/>
  <c r="P31"/>
  <c r="O31"/>
  <c r="N31"/>
  <c r="M31"/>
  <c r="L31"/>
  <c r="K31"/>
  <c r="J31"/>
  <c r="I31"/>
  <c r="H31"/>
  <c r="G31"/>
  <c r="V30"/>
  <c r="U30"/>
  <c r="T30"/>
  <c r="S30"/>
  <c r="R30"/>
  <c r="Q30"/>
  <c r="P30"/>
  <c r="O30"/>
  <c r="N30"/>
  <c r="M30"/>
  <c r="L30"/>
  <c r="K30"/>
  <c r="J30"/>
  <c r="I30"/>
  <c r="H30"/>
  <c r="G30"/>
  <c r="V29"/>
  <c r="U29"/>
  <c r="T29"/>
  <c r="S29"/>
  <c r="R29"/>
  <c r="Q29"/>
  <c r="P29"/>
  <c r="O29"/>
  <c r="N29"/>
  <c r="M29"/>
  <c r="L29"/>
  <c r="K29"/>
  <c r="J29"/>
  <c r="I29"/>
  <c r="H29"/>
  <c r="G29"/>
  <c r="V28"/>
  <c r="U28"/>
  <c r="T28"/>
  <c r="S28"/>
  <c r="R28"/>
  <c r="Q28"/>
  <c r="P28"/>
  <c r="O28"/>
  <c r="N28"/>
  <c r="M28"/>
  <c r="L28"/>
  <c r="K28"/>
  <c r="J28"/>
  <c r="I28"/>
  <c r="H28"/>
  <c r="G28"/>
  <c r="V27"/>
  <c r="U27"/>
  <c r="T27"/>
  <c r="S27"/>
  <c r="R27"/>
  <c r="Q27"/>
  <c r="P27"/>
  <c r="O27"/>
  <c r="N27"/>
  <c r="M27"/>
  <c r="L27"/>
  <c r="K27"/>
  <c r="J27"/>
  <c r="I27"/>
  <c r="H27"/>
  <c r="G27"/>
  <c r="V26"/>
  <c r="U26"/>
  <c r="T26"/>
  <c r="S26"/>
  <c r="R26"/>
  <c r="Q26"/>
  <c r="P26"/>
  <c r="O26"/>
  <c r="N26"/>
  <c r="M26"/>
  <c r="L26"/>
  <c r="K26"/>
  <c r="J26"/>
  <c r="I26"/>
  <c r="H26"/>
  <c r="G26"/>
  <c r="V25"/>
  <c r="U25"/>
  <c r="T25"/>
  <c r="S25"/>
  <c r="R25"/>
  <c r="Q25"/>
  <c r="P25"/>
  <c r="O25"/>
  <c r="N25"/>
  <c r="M25"/>
  <c r="L25"/>
  <c r="K25"/>
  <c r="J25"/>
  <c r="I25"/>
  <c r="H25"/>
  <c r="G25"/>
  <c r="V24"/>
  <c r="U24"/>
  <c r="T24"/>
  <c r="S24"/>
  <c r="R24"/>
  <c r="Q24"/>
  <c r="P24"/>
  <c r="O24"/>
  <c r="N24"/>
  <c r="M24"/>
  <c r="L24"/>
  <c r="K24"/>
  <c r="J24"/>
  <c r="I24"/>
  <c r="H24"/>
  <c r="G24"/>
  <c r="V23"/>
  <c r="U23"/>
  <c r="T23"/>
  <c r="S23"/>
  <c r="R23"/>
  <c r="Q23"/>
  <c r="P23"/>
  <c r="O23"/>
  <c r="N23"/>
  <c r="M23"/>
  <c r="L23"/>
  <c r="K23"/>
  <c r="J23"/>
  <c r="I23"/>
  <c r="H23"/>
  <c r="G23"/>
  <c r="V22"/>
  <c r="U22"/>
  <c r="T22"/>
  <c r="S22"/>
  <c r="R22"/>
  <c r="Q22"/>
  <c r="P22"/>
  <c r="O22"/>
  <c r="N22"/>
  <c r="M22"/>
  <c r="L22"/>
  <c r="K22"/>
  <c r="J22"/>
  <c r="I22"/>
  <c r="H22"/>
  <c r="G22"/>
  <c r="V21"/>
  <c r="U21"/>
  <c r="T21"/>
  <c r="S21"/>
  <c r="R21"/>
  <c r="Q21"/>
  <c r="P21"/>
  <c r="O21"/>
  <c r="N21"/>
  <c r="M21"/>
  <c r="L21"/>
  <c r="K21"/>
  <c r="J21"/>
  <c r="I21"/>
  <c r="H21"/>
  <c r="G21"/>
  <c r="V20"/>
  <c r="U20"/>
  <c r="T20"/>
  <c r="S20"/>
  <c r="R20"/>
  <c r="Q20"/>
  <c r="P20"/>
  <c r="O20"/>
  <c r="N20"/>
  <c r="M20"/>
  <c r="L20"/>
  <c r="K20"/>
  <c r="J20"/>
  <c r="I20"/>
  <c r="H20"/>
  <c r="G20"/>
  <c r="V19"/>
  <c r="U19"/>
  <c r="T19"/>
  <c r="S19"/>
  <c r="R19"/>
  <c r="Q19"/>
  <c r="P19"/>
  <c r="O19"/>
  <c r="N19"/>
  <c r="M19"/>
  <c r="L19"/>
  <c r="K19"/>
  <c r="J19"/>
  <c r="I19"/>
  <c r="H19"/>
  <c r="G19"/>
  <c r="V18"/>
  <c r="U18"/>
  <c r="T18"/>
  <c r="S18"/>
  <c r="R18"/>
  <c r="Q18"/>
  <c r="P18"/>
  <c r="O18"/>
  <c r="N18"/>
  <c r="M18"/>
  <c r="L18"/>
  <c r="K18"/>
  <c r="J18"/>
  <c r="I18"/>
  <c r="H18"/>
  <c r="G18"/>
  <c r="V17"/>
  <c r="U17"/>
  <c r="T17"/>
  <c r="S17"/>
  <c r="R17"/>
  <c r="Q17"/>
  <c r="P17"/>
  <c r="O17"/>
  <c r="N17"/>
  <c r="M17"/>
  <c r="L17"/>
  <c r="K17"/>
  <c r="J17"/>
  <c r="I17"/>
  <c r="H17"/>
  <c r="G17"/>
  <c r="V16"/>
  <c r="U16"/>
  <c r="T16"/>
  <c r="S16"/>
  <c r="R16"/>
  <c r="Q16"/>
  <c r="P16"/>
  <c r="O16"/>
  <c r="N16"/>
  <c r="M16"/>
  <c r="L16"/>
  <c r="K16"/>
  <c r="J16"/>
  <c r="I16"/>
  <c r="H16"/>
  <c r="G16"/>
  <c r="V15"/>
  <c r="U15"/>
  <c r="T15"/>
  <c r="S15"/>
  <c r="R15"/>
  <c r="Q15"/>
  <c r="P15"/>
  <c r="O15"/>
  <c r="N15"/>
  <c r="M15"/>
  <c r="L15"/>
  <c r="K15"/>
  <c r="J15"/>
  <c r="I15"/>
  <c r="H15"/>
  <c r="G15"/>
  <c r="V14"/>
  <c r="U14"/>
  <c r="T14"/>
  <c r="S14"/>
  <c r="R14"/>
  <c r="Q14"/>
  <c r="P14"/>
  <c r="O14"/>
  <c r="N14"/>
  <c r="M14"/>
  <c r="L14"/>
  <c r="K14"/>
  <c r="J14"/>
  <c r="I14"/>
  <c r="H14"/>
  <c r="G14"/>
  <c r="V13"/>
  <c r="U13"/>
  <c r="T13"/>
  <c r="S13"/>
  <c r="R13"/>
  <c r="Q13"/>
  <c r="P13"/>
  <c r="O13"/>
  <c r="N13"/>
  <c r="M13"/>
  <c r="L13"/>
  <c r="K13"/>
  <c r="J13"/>
  <c r="I13"/>
  <c r="H13"/>
  <c r="G13"/>
  <c r="V12"/>
  <c r="U12"/>
  <c r="T12"/>
  <c r="S12"/>
  <c r="R12"/>
  <c r="Q12"/>
  <c r="P12"/>
  <c r="O12"/>
  <c r="N12"/>
  <c r="M12"/>
  <c r="L12"/>
  <c r="K12"/>
  <c r="J12"/>
  <c r="I12"/>
  <c r="H12"/>
  <c r="G12"/>
  <c r="V11"/>
  <c r="U11"/>
  <c r="T11"/>
  <c r="S11"/>
  <c r="R11"/>
  <c r="Q11"/>
  <c r="P11"/>
  <c r="O11"/>
  <c r="N11"/>
  <c r="M11"/>
  <c r="L11"/>
  <c r="K11"/>
  <c r="J11"/>
  <c r="I11"/>
  <c r="H11"/>
  <c r="G11"/>
  <c r="V10"/>
  <c r="U10"/>
  <c r="T10"/>
  <c r="S10"/>
  <c r="R10"/>
  <c r="Q10"/>
  <c r="P10"/>
  <c r="O10"/>
  <c r="N10"/>
  <c r="M10"/>
  <c r="L10"/>
  <c r="K10"/>
  <c r="J10"/>
  <c r="I10"/>
  <c r="H10"/>
  <c r="G10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U7"/>
  <c r="V7"/>
  <c r="T7"/>
  <c r="S7"/>
  <c r="R7"/>
  <c r="Q7"/>
  <c r="P7"/>
  <c r="O7"/>
  <c r="N7"/>
  <c r="M7"/>
  <c r="L7"/>
  <c r="K7"/>
  <c r="J7"/>
  <c r="I7"/>
  <c r="H7"/>
  <c r="G7"/>
  <c r="B105" i="3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U33" i="24"/>
  <c r="U29"/>
  <c r="U25"/>
  <c r="U21"/>
  <c r="U8"/>
  <c r="U31" s="1"/>
  <c r="AJ8"/>
  <c r="AJ16" s="1"/>
  <c r="AY8"/>
  <c r="AY10" s="1"/>
  <c r="R8"/>
  <c r="T32" s="1"/>
  <c r="C8"/>
  <c r="E17" s="1"/>
  <c r="AG8"/>
  <c r="AI10" s="1"/>
  <c r="AV8"/>
  <c r="AX10" s="1"/>
  <c r="AI37" i="30"/>
  <c r="AH37"/>
  <c r="AG37"/>
  <c r="AF37"/>
  <c r="AI36"/>
  <c r="AH36"/>
  <c r="AG36"/>
  <c r="AF36"/>
  <c r="AI35"/>
  <c r="AH35"/>
  <c r="AG35"/>
  <c r="AF35"/>
  <c r="AI34"/>
  <c r="AH34"/>
  <c r="AG34"/>
  <c r="AF34"/>
  <c r="AI33"/>
  <c r="AH33"/>
  <c r="AG33"/>
  <c r="AF33"/>
  <c r="AI32"/>
  <c r="AH32"/>
  <c r="AG32"/>
  <c r="AF32"/>
  <c r="AI31"/>
  <c r="AH31"/>
  <c r="AG31"/>
  <c r="AK31" s="1"/>
  <c r="AO31" s="1"/>
  <c r="AS31" s="1"/>
  <c r="AF31"/>
  <c r="AJ31" s="1"/>
  <c r="AN31" s="1"/>
  <c r="AR31" s="1"/>
  <c r="AI30"/>
  <c r="AH30"/>
  <c r="AG30"/>
  <c r="AK30" s="1"/>
  <c r="AO30" s="1"/>
  <c r="AS30" s="1"/>
  <c r="AF30"/>
  <c r="AJ30" s="1"/>
  <c r="AN30" s="1"/>
  <c r="AR30" s="1"/>
  <c r="AI29"/>
  <c r="AH29"/>
  <c r="AG29"/>
  <c r="AK29" s="1"/>
  <c r="AO29" s="1"/>
  <c r="AS29" s="1"/>
  <c r="AF29"/>
  <c r="AJ29" s="1"/>
  <c r="AN29" s="1"/>
  <c r="AR29" s="1"/>
  <c r="AI28"/>
  <c r="AH28"/>
  <c r="AG28"/>
  <c r="AK28" s="1"/>
  <c r="AO28" s="1"/>
  <c r="AS28" s="1"/>
  <c r="AF28"/>
  <c r="AJ28" s="1"/>
  <c r="AN28" s="1"/>
  <c r="AR28" s="1"/>
  <c r="AI27"/>
  <c r="AH27"/>
  <c r="AG27"/>
  <c r="AK27" s="1"/>
  <c r="AO27" s="1"/>
  <c r="AS27" s="1"/>
  <c r="AF27"/>
  <c r="AJ27" s="1"/>
  <c r="AN27" s="1"/>
  <c r="AR27" s="1"/>
  <c r="AI26"/>
  <c r="AH26"/>
  <c r="AG26"/>
  <c r="AK26" s="1"/>
  <c r="AO26" s="1"/>
  <c r="AS26" s="1"/>
  <c r="AF26"/>
  <c r="AJ26" s="1"/>
  <c r="AN26" s="1"/>
  <c r="AR26" s="1"/>
  <c r="AI25"/>
  <c r="AM25" s="1"/>
  <c r="AQ25" s="1"/>
  <c r="AU25" s="1"/>
  <c r="AH25"/>
  <c r="AG25"/>
  <c r="AF25"/>
  <c r="AJ25" s="1"/>
  <c r="AN25" s="1"/>
  <c r="AR25" s="1"/>
  <c r="AI24"/>
  <c r="AM24" s="1"/>
  <c r="AQ24" s="1"/>
  <c r="AU24" s="1"/>
  <c r="AH24"/>
  <c r="AG24"/>
  <c r="AF24"/>
  <c r="AJ24" s="1"/>
  <c r="AN24" s="1"/>
  <c r="AR24" s="1"/>
  <c r="AI23"/>
  <c r="AM23" s="1"/>
  <c r="AQ23" s="1"/>
  <c r="AU23" s="1"/>
  <c r="AH23"/>
  <c r="AG23"/>
  <c r="AF23"/>
  <c r="AJ23" s="1"/>
  <c r="AN23" s="1"/>
  <c r="AR23" s="1"/>
  <c r="AI22"/>
  <c r="AM22" s="1"/>
  <c r="AQ22" s="1"/>
  <c r="AU22" s="1"/>
  <c r="AH22"/>
  <c r="AG22"/>
  <c r="AF22"/>
  <c r="AJ22" s="1"/>
  <c r="AN22" s="1"/>
  <c r="AR22" s="1"/>
  <c r="AI21"/>
  <c r="AM21" s="1"/>
  <c r="AQ21" s="1"/>
  <c r="AU21" s="1"/>
  <c r="AH21"/>
  <c r="AG21"/>
  <c r="AF21"/>
  <c r="AJ21" s="1"/>
  <c r="AN21" s="1"/>
  <c r="AR21" s="1"/>
  <c r="AI20"/>
  <c r="AM20" s="1"/>
  <c r="AQ20" s="1"/>
  <c r="AU20" s="1"/>
  <c r="AH20"/>
  <c r="AG20"/>
  <c r="AF20"/>
  <c r="AJ20" s="1"/>
  <c r="AN20" s="1"/>
  <c r="AR20" s="1"/>
  <c r="AI19"/>
  <c r="AM19" s="1"/>
  <c r="AQ19" s="1"/>
  <c r="AU19" s="1"/>
  <c r="AH19"/>
  <c r="AL19" s="1"/>
  <c r="AP19" s="1"/>
  <c r="AT19" s="1"/>
  <c r="AG19"/>
  <c r="AF19"/>
  <c r="AI18"/>
  <c r="AM18" s="1"/>
  <c r="AQ18" s="1"/>
  <c r="AU18" s="1"/>
  <c r="AH18"/>
  <c r="AL18" s="1"/>
  <c r="AP18" s="1"/>
  <c r="AT18" s="1"/>
  <c r="AG18"/>
  <c r="AF18"/>
  <c r="AI17"/>
  <c r="AM17" s="1"/>
  <c r="AQ17" s="1"/>
  <c r="AU17" s="1"/>
  <c r="AH17"/>
  <c r="AL17" s="1"/>
  <c r="AP17" s="1"/>
  <c r="AT17" s="1"/>
  <c r="AG17"/>
  <c r="AF17"/>
  <c r="AI16"/>
  <c r="AM16" s="1"/>
  <c r="AQ16" s="1"/>
  <c r="AU16" s="1"/>
  <c r="AH16"/>
  <c r="AL16" s="1"/>
  <c r="AP16" s="1"/>
  <c r="AT16" s="1"/>
  <c r="AG16"/>
  <c r="AF16"/>
  <c r="AI15"/>
  <c r="AM15" s="1"/>
  <c r="AQ15" s="1"/>
  <c r="AU15" s="1"/>
  <c r="AH15"/>
  <c r="AL15" s="1"/>
  <c r="AP15" s="1"/>
  <c r="AT15" s="1"/>
  <c r="AG15"/>
  <c r="AF15"/>
  <c r="AI14"/>
  <c r="AM14" s="1"/>
  <c r="AQ14" s="1"/>
  <c r="AU14" s="1"/>
  <c r="AH14"/>
  <c r="AL14" s="1"/>
  <c r="AP14" s="1"/>
  <c r="AT14" s="1"/>
  <c r="AG14"/>
  <c r="AF14"/>
  <c r="AI13"/>
  <c r="AH13"/>
  <c r="AL13" s="1"/>
  <c r="AP13" s="1"/>
  <c r="AT13" s="1"/>
  <c r="AG13"/>
  <c r="AK13" s="1"/>
  <c r="AO13" s="1"/>
  <c r="AS13" s="1"/>
  <c r="AF13"/>
  <c r="AI12"/>
  <c r="AH12"/>
  <c r="AL12" s="1"/>
  <c r="AP12" s="1"/>
  <c r="AT12" s="1"/>
  <c r="AG12"/>
  <c r="AK12" s="1"/>
  <c r="AO12" s="1"/>
  <c r="AS12" s="1"/>
  <c r="AF12"/>
  <c r="AI11"/>
  <c r="AH11"/>
  <c r="AL11" s="1"/>
  <c r="AP11" s="1"/>
  <c r="AT11" s="1"/>
  <c r="AG11"/>
  <c r="AK11" s="1"/>
  <c r="AO11" s="1"/>
  <c r="AS11" s="1"/>
  <c r="AF11"/>
  <c r="AI10"/>
  <c r="AH10"/>
  <c r="AL10" s="1"/>
  <c r="AP10" s="1"/>
  <c r="AT10" s="1"/>
  <c r="AG10"/>
  <c r="AK10" s="1"/>
  <c r="AO10" s="1"/>
  <c r="AS10" s="1"/>
  <c r="AF10"/>
  <c r="AI9"/>
  <c r="AH9"/>
  <c r="AL9" s="1"/>
  <c r="AP9" s="1"/>
  <c r="AT9" s="1"/>
  <c r="AG9"/>
  <c r="AK9" s="1"/>
  <c r="AO9" s="1"/>
  <c r="AS9" s="1"/>
  <c r="AF9"/>
  <c r="AI8"/>
  <c r="AH8"/>
  <c r="AG8"/>
  <c r="AK8" s="1"/>
  <c r="AO8" s="1"/>
  <c r="AS8" s="1"/>
  <c r="AF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X36"/>
  <c r="AC36" s="1"/>
  <c r="X28"/>
  <c r="AC28" s="1"/>
  <c r="X20"/>
  <c r="AC20" s="1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V34"/>
  <c r="V37"/>
  <c r="V36"/>
  <c r="V35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S37"/>
  <c r="Z37" s="1"/>
  <c r="AE37" s="1"/>
  <c r="R37"/>
  <c r="Y37" s="1"/>
  <c r="Q37"/>
  <c r="X37" s="1"/>
  <c r="AC37" s="1"/>
  <c r="P37"/>
  <c r="W37" s="1"/>
  <c r="S36"/>
  <c r="Z36" s="1"/>
  <c r="R36"/>
  <c r="Y36" s="1"/>
  <c r="AD36" s="1"/>
  <c r="Q36"/>
  <c r="P36"/>
  <c r="W36" s="1"/>
  <c r="AB36" s="1"/>
  <c r="S35"/>
  <c r="Z35" s="1"/>
  <c r="AE35" s="1"/>
  <c r="R35"/>
  <c r="Y35" s="1"/>
  <c r="Q35"/>
  <c r="X35" s="1"/>
  <c r="P35"/>
  <c r="W35" s="1"/>
  <c r="S34"/>
  <c r="Z34" s="1"/>
  <c r="R34"/>
  <c r="Y34" s="1"/>
  <c r="AD34" s="1"/>
  <c r="Q34"/>
  <c r="X34" s="1"/>
  <c r="AC34" s="1"/>
  <c r="P34"/>
  <c r="W34" s="1"/>
  <c r="AB34" s="1"/>
  <c r="S33"/>
  <c r="Z33" s="1"/>
  <c r="AE33" s="1"/>
  <c r="R33"/>
  <c r="Y33" s="1"/>
  <c r="Q33"/>
  <c r="X33" s="1"/>
  <c r="AC33" s="1"/>
  <c r="P33"/>
  <c r="W33" s="1"/>
  <c r="S32"/>
  <c r="Z32" s="1"/>
  <c r="R32"/>
  <c r="Y32" s="1"/>
  <c r="AD32" s="1"/>
  <c r="AL32" s="1"/>
  <c r="AP32" s="1"/>
  <c r="AT32" s="1"/>
  <c r="Q32"/>
  <c r="X32" s="1"/>
  <c r="AC32" s="1"/>
  <c r="P32"/>
  <c r="W32" s="1"/>
  <c r="AB32" s="1"/>
  <c r="S31"/>
  <c r="Z31" s="1"/>
  <c r="AE31" s="1"/>
  <c r="R31"/>
  <c r="Y31" s="1"/>
  <c r="Q31"/>
  <c r="X31" s="1"/>
  <c r="P31"/>
  <c r="W31" s="1"/>
  <c r="S30"/>
  <c r="Z30" s="1"/>
  <c r="R30"/>
  <c r="Y30" s="1"/>
  <c r="AD30" s="1"/>
  <c r="AL30" s="1"/>
  <c r="AP30" s="1"/>
  <c r="AT30" s="1"/>
  <c r="Q30"/>
  <c r="X30" s="1"/>
  <c r="AC30" s="1"/>
  <c r="P30"/>
  <c r="W30" s="1"/>
  <c r="AB30" s="1"/>
  <c r="S29"/>
  <c r="Z29" s="1"/>
  <c r="AE29" s="1"/>
  <c r="R29"/>
  <c r="Y29" s="1"/>
  <c r="Q29"/>
  <c r="X29" s="1"/>
  <c r="AC29" s="1"/>
  <c r="P29"/>
  <c r="W29" s="1"/>
  <c r="S28"/>
  <c r="Z28" s="1"/>
  <c r="R28"/>
  <c r="Y28" s="1"/>
  <c r="AD28" s="1"/>
  <c r="Q28"/>
  <c r="P28"/>
  <c r="W28" s="1"/>
  <c r="AB28" s="1"/>
  <c r="S27"/>
  <c r="Z27" s="1"/>
  <c r="AE27" s="1"/>
  <c r="R27"/>
  <c r="Y27" s="1"/>
  <c r="Q27"/>
  <c r="X27" s="1"/>
  <c r="P27"/>
  <c r="W27" s="1"/>
  <c r="S26"/>
  <c r="Z26" s="1"/>
  <c r="R26"/>
  <c r="Y26" s="1"/>
  <c r="AD26" s="1"/>
  <c r="Q26"/>
  <c r="X26" s="1"/>
  <c r="AC26" s="1"/>
  <c r="P26"/>
  <c r="W26" s="1"/>
  <c r="AB26" s="1"/>
  <c r="S25"/>
  <c r="Z25" s="1"/>
  <c r="AE25" s="1"/>
  <c r="R25"/>
  <c r="Y25" s="1"/>
  <c r="Q25"/>
  <c r="X25" s="1"/>
  <c r="AC25" s="1"/>
  <c r="P25"/>
  <c r="W25" s="1"/>
  <c r="S24"/>
  <c r="Z24" s="1"/>
  <c r="R24"/>
  <c r="Y24" s="1"/>
  <c r="AD24" s="1"/>
  <c r="AL24" s="1"/>
  <c r="AP24" s="1"/>
  <c r="AT24" s="1"/>
  <c r="Q24"/>
  <c r="X24" s="1"/>
  <c r="AC24" s="1"/>
  <c r="P24"/>
  <c r="W24" s="1"/>
  <c r="AB24" s="1"/>
  <c r="S23"/>
  <c r="Z23" s="1"/>
  <c r="AE23" s="1"/>
  <c r="R23"/>
  <c r="Y23" s="1"/>
  <c r="Q23"/>
  <c r="X23" s="1"/>
  <c r="P23"/>
  <c r="W23" s="1"/>
  <c r="S22"/>
  <c r="Z22" s="1"/>
  <c r="R22"/>
  <c r="Y22" s="1"/>
  <c r="AD22" s="1"/>
  <c r="Q22"/>
  <c r="X22" s="1"/>
  <c r="AC22" s="1"/>
  <c r="P22"/>
  <c r="W22" s="1"/>
  <c r="AB22" s="1"/>
  <c r="S21"/>
  <c r="Z21" s="1"/>
  <c r="AE21" s="1"/>
  <c r="R21"/>
  <c r="Y21" s="1"/>
  <c r="Q21"/>
  <c r="X21" s="1"/>
  <c r="AC21" s="1"/>
  <c r="P21"/>
  <c r="W21" s="1"/>
  <c r="S20"/>
  <c r="Z20" s="1"/>
  <c r="R20"/>
  <c r="Y20" s="1"/>
  <c r="AD20" s="1"/>
  <c r="Q20"/>
  <c r="P20"/>
  <c r="W20" s="1"/>
  <c r="AB20" s="1"/>
  <c r="S19"/>
  <c r="Z19" s="1"/>
  <c r="AE19" s="1"/>
  <c r="R19"/>
  <c r="Y19" s="1"/>
  <c r="Q19"/>
  <c r="X19" s="1"/>
  <c r="P19"/>
  <c r="W19" s="1"/>
  <c r="S18"/>
  <c r="Z18" s="1"/>
  <c r="R18"/>
  <c r="Y18" s="1"/>
  <c r="AD18" s="1"/>
  <c r="Q18"/>
  <c r="X18" s="1"/>
  <c r="AC18" s="1"/>
  <c r="P18"/>
  <c r="W18" s="1"/>
  <c r="AB18" s="1"/>
  <c r="AJ18" s="1"/>
  <c r="AN18" s="1"/>
  <c r="AR18" s="1"/>
  <c r="S17"/>
  <c r="Z17" s="1"/>
  <c r="AE17" s="1"/>
  <c r="R17"/>
  <c r="Y17" s="1"/>
  <c r="Q17"/>
  <c r="X17" s="1"/>
  <c r="AC17" s="1"/>
  <c r="P17"/>
  <c r="W17" s="1"/>
  <c r="S16"/>
  <c r="Z16" s="1"/>
  <c r="R16"/>
  <c r="Y16" s="1"/>
  <c r="AD16" s="1"/>
  <c r="Q16"/>
  <c r="X16" s="1"/>
  <c r="AC16" s="1"/>
  <c r="P16"/>
  <c r="W16" s="1"/>
  <c r="AB16" s="1"/>
  <c r="S15"/>
  <c r="Z15" s="1"/>
  <c r="AE15" s="1"/>
  <c r="R15"/>
  <c r="Y15" s="1"/>
  <c r="Q15"/>
  <c r="X15" s="1"/>
  <c r="P15"/>
  <c r="W15" s="1"/>
  <c r="S14"/>
  <c r="Z14" s="1"/>
  <c r="R14"/>
  <c r="Y14" s="1"/>
  <c r="AD14" s="1"/>
  <c r="Q14"/>
  <c r="X14" s="1"/>
  <c r="AC14" s="1"/>
  <c r="P14"/>
  <c r="W14" s="1"/>
  <c r="AB14" s="1"/>
  <c r="S13"/>
  <c r="Z13" s="1"/>
  <c r="AE13" s="1"/>
  <c r="R13"/>
  <c r="Y13" s="1"/>
  <c r="Q13"/>
  <c r="X13" s="1"/>
  <c r="AC13" s="1"/>
  <c r="P13"/>
  <c r="W13" s="1"/>
  <c r="S12"/>
  <c r="Z12" s="1"/>
  <c r="AE12" s="1"/>
  <c r="R12"/>
  <c r="Y12" s="1"/>
  <c r="AD12" s="1"/>
  <c r="Q12"/>
  <c r="X12" s="1"/>
  <c r="AC12" s="1"/>
  <c r="P12"/>
  <c r="W12" s="1"/>
  <c r="AB12" s="1"/>
  <c r="S11"/>
  <c r="Z11" s="1"/>
  <c r="AE11" s="1"/>
  <c r="R11"/>
  <c r="Y11" s="1"/>
  <c r="Q11"/>
  <c r="X11" s="1"/>
  <c r="P11"/>
  <c r="W11" s="1"/>
  <c r="S10"/>
  <c r="Z10" s="1"/>
  <c r="AE10" s="1"/>
  <c r="R10"/>
  <c r="Y10" s="1"/>
  <c r="AD10" s="1"/>
  <c r="Q10"/>
  <c r="X10" s="1"/>
  <c r="AC10" s="1"/>
  <c r="P10"/>
  <c r="W10" s="1"/>
  <c r="AB10" s="1"/>
  <c r="AJ10" s="1"/>
  <c r="AN10" s="1"/>
  <c r="AR10" s="1"/>
  <c r="S9"/>
  <c r="Z9" s="1"/>
  <c r="R9"/>
  <c r="Y9" s="1"/>
  <c r="Q9"/>
  <c r="X9" s="1"/>
  <c r="AC9" s="1"/>
  <c r="P9"/>
  <c r="W9" s="1"/>
  <c r="S8"/>
  <c r="Z8" s="1"/>
  <c r="AE8" s="1"/>
  <c r="R8"/>
  <c r="Y8" s="1"/>
  <c r="AD8" s="1"/>
  <c r="Q8"/>
  <c r="X8" s="1"/>
  <c r="AC8" s="1"/>
  <c r="P8"/>
  <c r="W8" s="1"/>
  <c r="AB8" s="1"/>
  <c r="AL8"/>
  <c r="AP8" s="1"/>
  <c r="AT8" s="1"/>
  <c r="V8"/>
  <c r="I8" i="29" l="1"/>
  <c r="I9"/>
  <c r="H9"/>
  <c r="H8"/>
  <c r="F16" i="24"/>
  <c r="U22"/>
  <c r="U30"/>
  <c r="T19"/>
  <c r="F17"/>
  <c r="AI16"/>
  <c r="AJ15"/>
  <c r="T15"/>
  <c r="AJ14"/>
  <c r="T14"/>
  <c r="AJ13"/>
  <c r="T13"/>
  <c r="AJ12"/>
  <c r="T12"/>
  <c r="AJ11"/>
  <c r="T11"/>
  <c r="AJ10"/>
  <c r="T10"/>
  <c r="U19"/>
  <c r="T18"/>
  <c r="T16"/>
  <c r="U15"/>
  <c r="E15"/>
  <c r="U14"/>
  <c r="E14"/>
  <c r="U13"/>
  <c r="E13"/>
  <c r="U12"/>
  <c r="E12"/>
  <c r="U11"/>
  <c r="E11"/>
  <c r="U10"/>
  <c r="E10"/>
  <c r="U26"/>
  <c r="U18"/>
  <c r="T17"/>
  <c r="U16"/>
  <c r="E16"/>
  <c r="F15"/>
  <c r="AX14"/>
  <c r="F14"/>
  <c r="AX13"/>
  <c r="F13"/>
  <c r="AX12"/>
  <c r="F12"/>
  <c r="AX11"/>
  <c r="F11"/>
  <c r="U17"/>
  <c r="AI15"/>
  <c r="AY14"/>
  <c r="AI14"/>
  <c r="AY13"/>
  <c r="AI13"/>
  <c r="AY12"/>
  <c r="AI12"/>
  <c r="AY11"/>
  <c r="AI11"/>
  <c r="T23"/>
  <c r="T22"/>
  <c r="T26"/>
  <c r="T30"/>
  <c r="T27"/>
  <c r="T21"/>
  <c r="T25"/>
  <c r="T29"/>
  <c r="T33"/>
  <c r="U20"/>
  <c r="U24"/>
  <c r="U28"/>
  <c r="U32"/>
  <c r="T31"/>
  <c r="T20"/>
  <c r="T24"/>
  <c r="T28"/>
  <c r="U23"/>
  <c r="U27"/>
  <c r="AF13" i="41"/>
  <c r="AH13" s="1"/>
  <c r="AH12"/>
  <c r="E12"/>
  <c r="H12" s="1"/>
  <c r="AF14"/>
  <c r="AH14" s="1"/>
  <c r="AF15"/>
  <c r="AH15" s="1"/>
  <c r="AE16"/>
  <c r="C9" i="2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E15"/>
  <c r="E18"/>
  <c r="E19"/>
  <c r="E23"/>
  <c r="E26"/>
  <c r="E27"/>
  <c r="E7"/>
  <c r="E11" s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AD9" i="30"/>
  <c r="AD11"/>
  <c r="AD13"/>
  <c r="AD15"/>
  <c r="AD17"/>
  <c r="AD19"/>
  <c r="AD21"/>
  <c r="AD23"/>
  <c r="AD25"/>
  <c r="AL25" s="1"/>
  <c r="AP25" s="1"/>
  <c r="AT25" s="1"/>
  <c r="AD27"/>
  <c r="AD29"/>
  <c r="AD31"/>
  <c r="AD33"/>
  <c r="AD35"/>
  <c r="AD37"/>
  <c r="AL37" s="1"/>
  <c r="AP37" s="1"/>
  <c r="AT37" s="1"/>
  <c r="AC11"/>
  <c r="AC15"/>
  <c r="AK15" s="1"/>
  <c r="AO15" s="1"/>
  <c r="AS15" s="1"/>
  <c r="AC19"/>
  <c r="AC23"/>
  <c r="AC27"/>
  <c r="AC31"/>
  <c r="AC35"/>
  <c r="AB9"/>
  <c r="AB11"/>
  <c r="AB13"/>
  <c r="AJ13" s="1"/>
  <c r="AN13" s="1"/>
  <c r="AR13" s="1"/>
  <c r="AB15"/>
  <c r="AB17"/>
  <c r="AB19"/>
  <c r="AB21"/>
  <c r="AB23"/>
  <c r="AB25"/>
  <c r="AB27"/>
  <c r="AB29"/>
  <c r="AB31"/>
  <c r="AB33"/>
  <c r="AB35"/>
  <c r="AB37"/>
  <c r="AJ37" s="1"/>
  <c r="AN37" s="1"/>
  <c r="AR37" s="1"/>
  <c r="AE14"/>
  <c r="AE16"/>
  <c r="AE18"/>
  <c r="AE20"/>
  <c r="AE22"/>
  <c r="AE24"/>
  <c r="AE26"/>
  <c r="AE28"/>
  <c r="AM28" s="1"/>
  <c r="AQ28" s="1"/>
  <c r="AU28" s="1"/>
  <c r="AE30"/>
  <c r="AE32"/>
  <c r="AE34"/>
  <c r="AM34" s="1"/>
  <c r="AQ34" s="1"/>
  <c r="AU34" s="1"/>
  <c r="AE36"/>
  <c r="AM36" s="1"/>
  <c r="AQ36" s="1"/>
  <c r="AU36" s="1"/>
  <c r="AE9"/>
  <c r="AJ8"/>
  <c r="AN8" s="1"/>
  <c r="AR8" s="1"/>
  <c r="AJ12"/>
  <c r="AN12" s="1"/>
  <c r="AR12" s="1"/>
  <c r="AJ14"/>
  <c r="AN14" s="1"/>
  <c r="AR14" s="1"/>
  <c r="AJ16"/>
  <c r="AN16" s="1"/>
  <c r="AR16" s="1"/>
  <c r="AJ32"/>
  <c r="AN32" s="1"/>
  <c r="AR32" s="1"/>
  <c r="AJ34"/>
  <c r="AN34" s="1"/>
  <c r="AR34" s="1"/>
  <c r="AJ35"/>
  <c r="AN35" s="1"/>
  <c r="AR35" s="1"/>
  <c r="AL20"/>
  <c r="AP20" s="1"/>
  <c r="AT20" s="1"/>
  <c r="AL22"/>
  <c r="AP22" s="1"/>
  <c r="AT22" s="1"/>
  <c r="AL26"/>
  <c r="AP26" s="1"/>
  <c r="AT26" s="1"/>
  <c r="AL28"/>
  <c r="AP28" s="1"/>
  <c r="AT28" s="1"/>
  <c r="AL34"/>
  <c r="AP34" s="1"/>
  <c r="AT34" s="1"/>
  <c r="AL35"/>
  <c r="AP35" s="1"/>
  <c r="AT35" s="1"/>
  <c r="AK34"/>
  <c r="AO34" s="1"/>
  <c r="AS34" s="1"/>
  <c r="AM13"/>
  <c r="AQ13" s="1"/>
  <c r="AU13" s="1"/>
  <c r="AK21"/>
  <c r="AO21" s="1"/>
  <c r="AS21" s="1"/>
  <c r="AL29"/>
  <c r="AP29" s="1"/>
  <c r="AT29" s="1"/>
  <c r="AM11"/>
  <c r="AQ11" s="1"/>
  <c r="AU11" s="1"/>
  <c r="AJ15"/>
  <c r="AN15" s="1"/>
  <c r="AR15" s="1"/>
  <c r="AK19"/>
  <c r="AO19" s="1"/>
  <c r="AS19" s="1"/>
  <c r="AK23"/>
  <c r="AO23" s="1"/>
  <c r="AS23" s="1"/>
  <c r="AL27"/>
  <c r="AP27" s="1"/>
  <c r="AT27" s="1"/>
  <c r="AL31"/>
  <c r="AP31" s="1"/>
  <c r="AT31" s="1"/>
  <c r="AK36"/>
  <c r="AO36" s="1"/>
  <c r="AS36" s="1"/>
  <c r="AM10"/>
  <c r="AQ10" s="1"/>
  <c r="AU10" s="1"/>
  <c r="AK14"/>
  <c r="AO14" s="1"/>
  <c r="AS14" s="1"/>
  <c r="AK18"/>
  <c r="AO18" s="1"/>
  <c r="AS18" s="1"/>
  <c r="AK22"/>
  <c r="AO22" s="1"/>
  <c r="AS22" s="1"/>
  <c r="AM26"/>
  <c r="AQ26" s="1"/>
  <c r="AU26" s="1"/>
  <c r="AM30"/>
  <c r="AQ30" s="1"/>
  <c r="AU30" s="1"/>
  <c r="AK35"/>
  <c r="AO35" s="1"/>
  <c r="AS35" s="1"/>
  <c r="AJ9"/>
  <c r="AN9" s="1"/>
  <c r="AR9" s="1"/>
  <c r="AK17"/>
  <c r="AO17" s="1"/>
  <c r="AS17" s="1"/>
  <c r="AK25"/>
  <c r="AO25" s="1"/>
  <c r="AS25" s="1"/>
  <c r="AK33"/>
  <c r="AO33" s="1"/>
  <c r="AS33" s="1"/>
  <c r="AM12"/>
  <c r="AQ12" s="1"/>
  <c r="AU12" s="1"/>
  <c r="AK16"/>
  <c r="AO16" s="1"/>
  <c r="AS16" s="1"/>
  <c r="AK20"/>
  <c r="AO20" s="1"/>
  <c r="AS20" s="1"/>
  <c r="AK24"/>
  <c r="AO24" s="1"/>
  <c r="AS24" s="1"/>
  <c r="AK32"/>
  <c r="AO32" s="1"/>
  <c r="AS32" s="1"/>
  <c r="AK37"/>
  <c r="AO37" s="1"/>
  <c r="AS37" s="1"/>
  <c r="AJ11"/>
  <c r="AN11" s="1"/>
  <c r="AR11" s="1"/>
  <c r="AJ17"/>
  <c r="AN17" s="1"/>
  <c r="AR17" s="1"/>
  <c r="AJ19"/>
  <c r="AN19" s="1"/>
  <c r="AR19" s="1"/>
  <c r="AJ33"/>
  <c r="AN33" s="1"/>
  <c r="AR33" s="1"/>
  <c r="AJ36"/>
  <c r="AN36" s="1"/>
  <c r="AR36" s="1"/>
  <c r="AM9"/>
  <c r="AQ9" s="1"/>
  <c r="AU9" s="1"/>
  <c r="AM27"/>
  <c r="AQ27" s="1"/>
  <c r="AU27" s="1"/>
  <c r="AM29"/>
  <c r="AQ29" s="1"/>
  <c r="AU29" s="1"/>
  <c r="AM31"/>
  <c r="AQ31" s="1"/>
  <c r="AU31" s="1"/>
  <c r="AM32"/>
  <c r="AQ32" s="1"/>
  <c r="AU32" s="1"/>
  <c r="AM33"/>
  <c r="AQ33" s="1"/>
  <c r="AU33" s="1"/>
  <c r="AM35"/>
  <c r="AQ35" s="1"/>
  <c r="AU35" s="1"/>
  <c r="AM37"/>
  <c r="AQ37" s="1"/>
  <c r="AU37" s="1"/>
  <c r="AL23"/>
  <c r="AP23" s="1"/>
  <c r="AT23" s="1"/>
  <c r="AL21"/>
  <c r="AP21" s="1"/>
  <c r="AT21" s="1"/>
  <c r="AL33"/>
  <c r="AP33" s="1"/>
  <c r="AT33" s="1"/>
  <c r="AL36"/>
  <c r="AP36" s="1"/>
  <c r="AT36" s="1"/>
  <c r="AM8"/>
  <c r="AQ8" s="1"/>
  <c r="AU8" s="1"/>
  <c r="AB22" i="29" l="1"/>
  <c r="AC22" s="1"/>
  <c r="AB23"/>
  <c r="AB24"/>
  <c r="AB25"/>
  <c r="AB27"/>
  <c r="AB26"/>
  <c r="AB28"/>
  <c r="AB29"/>
  <c r="AB30"/>
  <c r="AB31"/>
  <c r="AB32"/>
  <c r="AB33"/>
  <c r="AB34"/>
  <c r="AB35"/>
  <c r="AB36"/>
  <c r="AB37"/>
  <c r="AB38"/>
  <c r="AB39"/>
  <c r="AB40"/>
  <c r="AB41"/>
  <c r="N43"/>
  <c r="N47"/>
  <c r="N51"/>
  <c r="N55"/>
  <c r="N59"/>
  <c r="N40"/>
  <c r="N36"/>
  <c r="N32"/>
  <c r="N28"/>
  <c r="N24"/>
  <c r="N42"/>
  <c r="N46"/>
  <c r="N50"/>
  <c r="N54"/>
  <c r="N58"/>
  <c r="N62"/>
  <c r="N37"/>
  <c r="N33"/>
  <c r="N29"/>
  <c r="N25"/>
  <c r="N45"/>
  <c r="N49"/>
  <c r="N53"/>
  <c r="N57"/>
  <c r="N61"/>
  <c r="N38"/>
  <c r="N34"/>
  <c r="N30"/>
  <c r="N26"/>
  <c r="N22"/>
  <c r="N41"/>
  <c r="N44"/>
  <c r="N48"/>
  <c r="N52"/>
  <c r="N56"/>
  <c r="N60"/>
  <c r="N39"/>
  <c r="N35"/>
  <c r="N31"/>
  <c r="N27"/>
  <c r="N23"/>
  <c r="M42"/>
  <c r="AF16" i="41"/>
  <c r="AH16" s="1"/>
  <c r="AE17"/>
  <c r="E41"/>
  <c r="E22" i="28"/>
  <c r="E14"/>
  <c r="E28" i="41"/>
  <c r="E13"/>
  <c r="E40"/>
  <c r="E29"/>
  <c r="E18"/>
  <c r="E31"/>
  <c r="E17"/>
  <c r="E30"/>
  <c r="E19"/>
  <c r="E36"/>
  <c r="E25"/>
  <c r="E34"/>
  <c r="E14"/>
  <c r="E27"/>
  <c r="E32"/>
  <c r="E33"/>
  <c r="E26"/>
  <c r="E35"/>
  <c r="E15"/>
  <c r="E37"/>
  <c r="E21"/>
  <c r="E38"/>
  <c r="E39"/>
  <c r="E23"/>
  <c r="E16"/>
  <c r="E20"/>
  <c r="E24"/>
  <c r="E10" i="28"/>
  <c r="F7"/>
  <c r="E8"/>
  <c r="E24"/>
  <c r="E20"/>
  <c r="E16"/>
  <c r="E12"/>
  <c r="E25"/>
  <c r="E21"/>
  <c r="E17"/>
  <c r="E13"/>
  <c r="E9"/>
  <c r="P9" i="11"/>
  <c r="P10" s="1"/>
  <c r="P11" s="1"/>
  <c r="P12" s="1"/>
  <c r="P13" s="1"/>
  <c r="P14" s="1"/>
  <c r="P15" s="1"/>
  <c r="P16" s="1"/>
  <c r="P17" s="1"/>
  <c r="P18" s="1"/>
  <c r="P19" s="1"/>
  <c r="P20" s="1"/>
  <c r="AD38" i="29" l="1"/>
  <c r="AF38" s="1"/>
  <c r="AE38"/>
  <c r="AD22"/>
  <c r="AF22" s="1"/>
  <c r="AE22"/>
  <c r="AE39"/>
  <c r="AD39"/>
  <c r="AF39" s="1"/>
  <c r="AE35"/>
  <c r="AD35"/>
  <c r="AF35" s="1"/>
  <c r="AE31"/>
  <c r="AD31"/>
  <c r="AF31" s="1"/>
  <c r="AD26"/>
  <c r="AF26" s="1"/>
  <c r="AE26"/>
  <c r="AD23"/>
  <c r="AF23" s="1"/>
  <c r="AE23"/>
  <c r="AD30"/>
  <c r="AF30" s="1"/>
  <c r="AE30"/>
  <c r="AD40"/>
  <c r="AF40" s="1"/>
  <c r="AE40"/>
  <c r="AD36"/>
  <c r="AF36" s="1"/>
  <c r="AE36"/>
  <c r="AD32"/>
  <c r="AF32" s="1"/>
  <c r="AE32"/>
  <c r="AD28"/>
  <c r="AF28" s="1"/>
  <c r="AE28"/>
  <c r="AD24"/>
  <c r="AF24" s="1"/>
  <c r="AE24"/>
  <c r="AD34"/>
  <c r="AF34" s="1"/>
  <c r="AE34"/>
  <c r="AD27"/>
  <c r="AF27" s="1"/>
  <c r="AE27"/>
  <c r="AE41"/>
  <c r="AD41"/>
  <c r="AF41" s="1"/>
  <c r="AE37"/>
  <c r="AD37"/>
  <c r="AF37" s="1"/>
  <c r="AE33"/>
  <c r="AD33"/>
  <c r="AF33" s="1"/>
  <c r="AD29"/>
  <c r="AF29" s="1"/>
  <c r="AE29"/>
  <c r="AD25"/>
  <c r="AF25" s="1"/>
  <c r="AE25"/>
  <c r="AC38"/>
  <c r="AC34"/>
  <c r="AC30"/>
  <c r="AC26"/>
  <c r="AC39"/>
  <c r="AC35"/>
  <c r="AC31"/>
  <c r="AC27"/>
  <c r="AC23"/>
  <c r="AC40"/>
  <c r="AC36"/>
  <c r="AC32"/>
  <c r="AC28"/>
  <c r="AC25"/>
  <c r="AC41"/>
  <c r="AC37"/>
  <c r="AC33"/>
  <c r="AC29"/>
  <c r="AC24"/>
  <c r="M43"/>
  <c r="M41"/>
  <c r="O42"/>
  <c r="P42" s="1"/>
  <c r="H16" i="41"/>
  <c r="G16"/>
  <c r="H35"/>
  <c r="G35"/>
  <c r="H31"/>
  <c r="G31"/>
  <c r="H41"/>
  <c r="G41"/>
  <c r="H20"/>
  <c r="G20"/>
  <c r="H22"/>
  <c r="G22"/>
  <c r="H15"/>
  <c r="G15"/>
  <c r="H32"/>
  <c r="G32"/>
  <c r="H25"/>
  <c r="G25"/>
  <c r="H17"/>
  <c r="G17"/>
  <c r="H40"/>
  <c r="G40"/>
  <c r="H27"/>
  <c r="G27"/>
  <c r="H37"/>
  <c r="G37"/>
  <c r="H34"/>
  <c r="G34"/>
  <c r="H30"/>
  <c r="G30"/>
  <c r="H29"/>
  <c r="G29"/>
  <c r="H38"/>
  <c r="G38"/>
  <c r="H36"/>
  <c r="G36"/>
  <c r="H13"/>
  <c r="G13"/>
  <c r="H24"/>
  <c r="G24"/>
  <c r="H39"/>
  <c r="G39"/>
  <c r="H33"/>
  <c r="G33"/>
  <c r="H23"/>
  <c r="G23"/>
  <c r="H21"/>
  <c r="G21"/>
  <c r="H26"/>
  <c r="G26"/>
  <c r="H14"/>
  <c r="G14"/>
  <c r="H19"/>
  <c r="G19"/>
  <c r="H18"/>
  <c r="G18"/>
  <c r="H28"/>
  <c r="G28"/>
  <c r="AE18"/>
  <c r="AH17"/>
  <c r="D10" i="40"/>
  <c r="G7" i="28"/>
  <c r="F8"/>
  <c r="F12"/>
  <c r="F16"/>
  <c r="F20"/>
  <c r="F24"/>
  <c r="F11"/>
  <c r="F15"/>
  <c r="F19"/>
  <c r="F23"/>
  <c r="F27"/>
  <c r="F10"/>
  <c r="F14"/>
  <c r="F18"/>
  <c r="F22"/>
  <c r="F26"/>
  <c r="F9"/>
  <c r="F13"/>
  <c r="F17"/>
  <c r="F21"/>
  <c r="F25"/>
  <c r="A9" i="3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P20" i="24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A9" i="11"/>
  <c r="A10" s="1"/>
  <c r="A11" s="1"/>
  <c r="A12" s="1"/>
  <c r="A13" s="1"/>
  <c r="A14" s="1"/>
  <c r="A15" s="1"/>
  <c r="A16" s="1"/>
  <c r="A17" s="1"/>
  <c r="A18" s="1"/>
  <c r="A19" s="1"/>
  <c r="AG38" i="29" l="1"/>
  <c r="AG24"/>
  <c r="AG22"/>
  <c r="AG27"/>
  <c r="AG39"/>
  <c r="AG37"/>
  <c r="AG32"/>
  <c r="AG34"/>
  <c r="AG25"/>
  <c r="AG41"/>
  <c r="AG31"/>
  <c r="AG23"/>
  <c r="AG33"/>
  <c r="AG28"/>
  <c r="AG29"/>
  <c r="AG36"/>
  <c r="AG40"/>
  <c r="AG35"/>
  <c r="AG26"/>
  <c r="AG30"/>
  <c r="O43"/>
  <c r="P43" s="1"/>
  <c r="M44"/>
  <c r="M40"/>
  <c r="O41"/>
  <c r="P41" s="1"/>
  <c r="AF18" i="41"/>
  <c r="AH18" s="1"/>
  <c r="AE19"/>
  <c r="D11" i="40"/>
  <c r="H7" i="28"/>
  <c r="G8"/>
  <c r="G10"/>
  <c r="G14"/>
  <c r="G18"/>
  <c r="G22"/>
  <c r="G26"/>
  <c r="G9"/>
  <c r="G13"/>
  <c r="G17"/>
  <c r="G21"/>
  <c r="G25"/>
  <c r="G12"/>
  <c r="G16"/>
  <c r="G20"/>
  <c r="G24"/>
  <c r="G11"/>
  <c r="G15"/>
  <c r="G19"/>
  <c r="G23"/>
  <c r="G27"/>
  <c r="AG19" i="29" l="1"/>
  <c r="AH32" s="1"/>
  <c r="M45"/>
  <c r="O44"/>
  <c r="P44" s="1"/>
  <c r="M39"/>
  <c r="O40"/>
  <c r="P40" s="1"/>
  <c r="AF19" i="41"/>
  <c r="AH19" s="1"/>
  <c r="AE20"/>
  <c r="D12" i="40"/>
  <c r="I7" i="28"/>
  <c r="H8"/>
  <c r="H12"/>
  <c r="H16"/>
  <c r="H20"/>
  <c r="H24"/>
  <c r="H11"/>
  <c r="H15"/>
  <c r="H19"/>
  <c r="H23"/>
  <c r="H27"/>
  <c r="H10"/>
  <c r="H14"/>
  <c r="H18"/>
  <c r="H22"/>
  <c r="H26"/>
  <c r="H9"/>
  <c r="H13"/>
  <c r="H17"/>
  <c r="H21"/>
  <c r="H25"/>
  <c r="AV15" i="30"/>
  <c r="AV29"/>
  <c r="AV13"/>
  <c r="AV21"/>
  <c r="AV31"/>
  <c r="AV11"/>
  <c r="AV9"/>
  <c r="AV20"/>
  <c r="AV12"/>
  <c r="AV27"/>
  <c r="AV18"/>
  <c r="AV23"/>
  <c r="AV8"/>
  <c r="AH33" i="29" l="1"/>
  <c r="AH23"/>
  <c r="AH38"/>
  <c r="AH31"/>
  <c r="AH34"/>
  <c r="AH27"/>
  <c r="AH22"/>
  <c r="AH25"/>
  <c r="AH24"/>
  <c r="AH36"/>
  <c r="AH35"/>
  <c r="AH39"/>
  <c r="AH28"/>
  <c r="AH30"/>
  <c r="AH29"/>
  <c r="AH40"/>
  <c r="AH26"/>
  <c r="AH37"/>
  <c r="AH41"/>
  <c r="M46"/>
  <c r="O45"/>
  <c r="P45" s="1"/>
  <c r="M38"/>
  <c r="O39"/>
  <c r="P39" s="1"/>
  <c r="AF20" i="41"/>
  <c r="AH20" s="1"/>
  <c r="AE21"/>
  <c r="D13" i="40"/>
  <c r="J7" i="28"/>
  <c r="I8"/>
  <c r="I12"/>
  <c r="I16"/>
  <c r="I20"/>
  <c r="I24"/>
  <c r="I11"/>
  <c r="I15"/>
  <c r="I19"/>
  <c r="I23"/>
  <c r="I27"/>
  <c r="I10"/>
  <c r="I14"/>
  <c r="I18"/>
  <c r="I22"/>
  <c r="I26"/>
  <c r="I9"/>
  <c r="I13"/>
  <c r="I17"/>
  <c r="I21"/>
  <c r="I25"/>
  <c r="AV19" i="30"/>
  <c r="AV24"/>
  <c r="AV32"/>
  <c r="AV16"/>
  <c r="AV25"/>
  <c r="AV33"/>
  <c r="AV30"/>
  <c r="AV14"/>
  <c r="AV35"/>
  <c r="AV17"/>
  <c r="AV36"/>
  <c r="AV22"/>
  <c r="AV10"/>
  <c r="AV37"/>
  <c r="AV34"/>
  <c r="AV26"/>
  <c r="AV28"/>
  <c r="A20" i="11"/>
  <c r="M47" i="29" l="1"/>
  <c r="O46"/>
  <c r="P46" s="1"/>
  <c r="M37"/>
  <c r="O38"/>
  <c r="P38" s="1"/>
  <c r="AE22" i="41"/>
  <c r="AF21"/>
  <c r="AH21" s="1"/>
  <c r="D14" i="40"/>
  <c r="K7" i="28"/>
  <c r="J8"/>
  <c r="J11"/>
  <c r="J15"/>
  <c r="J19"/>
  <c r="J23"/>
  <c r="J27"/>
  <c r="J10"/>
  <c r="J14"/>
  <c r="J18"/>
  <c r="J22"/>
  <c r="J26"/>
  <c r="J9"/>
  <c r="J13"/>
  <c r="J17"/>
  <c r="J21"/>
  <c r="J25"/>
  <c r="J12"/>
  <c r="J16"/>
  <c r="J20"/>
  <c r="J24"/>
  <c r="M48" i="29" l="1"/>
  <c r="O47"/>
  <c r="P47" s="1"/>
  <c r="M36"/>
  <c r="O37"/>
  <c r="P37" s="1"/>
  <c r="AF22" i="41"/>
  <c r="AH22" s="1"/>
  <c r="AE23"/>
  <c r="D15" i="40"/>
  <c r="L7" i="28"/>
  <c r="K8"/>
  <c r="K9"/>
  <c r="K13"/>
  <c r="K17"/>
  <c r="K21"/>
  <c r="K25"/>
  <c r="K12"/>
  <c r="K16"/>
  <c r="K20"/>
  <c r="K24"/>
  <c r="K11"/>
  <c r="K15"/>
  <c r="K19"/>
  <c r="K23"/>
  <c r="K27"/>
  <c r="K10"/>
  <c r="K14"/>
  <c r="K18"/>
  <c r="K22"/>
  <c r="K26"/>
  <c r="M35" i="29" l="1"/>
  <c r="O36"/>
  <c r="P36" s="1"/>
  <c r="M49"/>
  <c r="O48"/>
  <c r="P48" s="1"/>
  <c r="AF23" i="41"/>
  <c r="AH23" s="1"/>
  <c r="AE24"/>
  <c r="D16" i="40"/>
  <c r="M7" i="28"/>
  <c r="L8"/>
  <c r="L11"/>
  <c r="L15"/>
  <c r="L19"/>
  <c r="L23"/>
  <c r="L27"/>
  <c r="L10"/>
  <c r="L14"/>
  <c r="L18"/>
  <c r="L22"/>
  <c r="L26"/>
  <c r="L9"/>
  <c r="L13"/>
  <c r="L17"/>
  <c r="L21"/>
  <c r="L25"/>
  <c r="L12"/>
  <c r="L16"/>
  <c r="L20"/>
  <c r="L24"/>
  <c r="M34" i="29" l="1"/>
  <c r="O35"/>
  <c r="P35" s="1"/>
  <c r="M50"/>
  <c r="O49"/>
  <c r="P49" s="1"/>
  <c r="AF24" i="41"/>
  <c r="AH24" s="1"/>
  <c r="AE25"/>
  <c r="D17" i="40"/>
  <c r="D18"/>
  <c r="C18" s="1"/>
  <c r="N7" i="28"/>
  <c r="M8"/>
  <c r="M11"/>
  <c r="M15"/>
  <c r="M19"/>
  <c r="M23"/>
  <c r="M27"/>
  <c r="M10"/>
  <c r="M14"/>
  <c r="M18"/>
  <c r="M22"/>
  <c r="M26"/>
  <c r="M9"/>
  <c r="M13"/>
  <c r="M17"/>
  <c r="M21"/>
  <c r="M25"/>
  <c r="M12"/>
  <c r="M16"/>
  <c r="M20"/>
  <c r="M24"/>
  <c r="C17" i="40" l="1"/>
  <c r="C16" s="1"/>
  <c r="C15" s="1"/>
  <c r="C14" s="1"/>
  <c r="C13" s="1"/>
  <c r="C12" s="1"/>
  <c r="C11" s="1"/>
  <c r="C10" s="1"/>
  <c r="C9" s="1"/>
  <c r="C8" s="1"/>
  <c r="C7" s="1"/>
  <c r="M33" i="29"/>
  <c r="O34"/>
  <c r="P34" s="1"/>
  <c r="M51"/>
  <c r="O50"/>
  <c r="P50" s="1"/>
  <c r="AE26" i="41"/>
  <c r="AF25"/>
  <c r="AH25" s="1"/>
  <c r="O7" i="28"/>
  <c r="N8"/>
  <c r="N10"/>
  <c r="N14"/>
  <c r="N18"/>
  <c r="N22"/>
  <c r="N26"/>
  <c r="N9"/>
  <c r="N13"/>
  <c r="N17"/>
  <c r="N21"/>
  <c r="N25"/>
  <c r="N12"/>
  <c r="N16"/>
  <c r="N20"/>
  <c r="N24"/>
  <c r="N11"/>
  <c r="N15"/>
  <c r="N19"/>
  <c r="N23"/>
  <c r="N27"/>
  <c r="M52" i="29" l="1"/>
  <c r="O51"/>
  <c r="P51" s="1"/>
  <c r="M32"/>
  <c r="O33"/>
  <c r="P33" s="1"/>
  <c r="AF26" i="41"/>
  <c r="AH26" s="1"/>
  <c r="AE27"/>
  <c r="P7" i="28"/>
  <c r="O8"/>
  <c r="O12"/>
  <c r="O16"/>
  <c r="O20"/>
  <c r="O24"/>
  <c r="O11"/>
  <c r="O15"/>
  <c r="O19"/>
  <c r="O23"/>
  <c r="O27"/>
  <c r="O10"/>
  <c r="O14"/>
  <c r="O18"/>
  <c r="O22"/>
  <c r="O26"/>
  <c r="O9"/>
  <c r="O13"/>
  <c r="O17"/>
  <c r="O21"/>
  <c r="O25"/>
  <c r="M31" i="29" l="1"/>
  <c r="O32"/>
  <c r="P32" s="1"/>
  <c r="M53"/>
  <c r="O52"/>
  <c r="P52" s="1"/>
  <c r="AF27" i="41"/>
  <c r="AH27" s="1"/>
  <c r="AE28"/>
  <c r="Q7" i="28"/>
  <c r="P8"/>
  <c r="P10"/>
  <c r="P14"/>
  <c r="P18"/>
  <c r="P22"/>
  <c r="P26"/>
  <c r="P9"/>
  <c r="P13"/>
  <c r="P17"/>
  <c r="P21"/>
  <c r="P25"/>
  <c r="P12"/>
  <c r="P16"/>
  <c r="P20"/>
  <c r="P24"/>
  <c r="P11"/>
  <c r="P15"/>
  <c r="P19"/>
  <c r="P23"/>
  <c r="P27"/>
  <c r="M30" i="29" l="1"/>
  <c r="O31"/>
  <c r="P31" s="1"/>
  <c r="M54"/>
  <c r="O53"/>
  <c r="P53" s="1"/>
  <c r="AF28" i="41"/>
  <c r="AH28" s="1"/>
  <c r="AE29"/>
  <c r="Q8" i="28"/>
  <c r="Q10"/>
  <c r="Q14"/>
  <c r="Q18"/>
  <c r="Q22"/>
  <c r="Q26"/>
  <c r="Q9"/>
  <c r="Q13"/>
  <c r="Q17"/>
  <c r="Q21"/>
  <c r="Q25"/>
  <c r="R7"/>
  <c r="Q12"/>
  <c r="Q16"/>
  <c r="Q20"/>
  <c r="Q24"/>
  <c r="Q11"/>
  <c r="Q15"/>
  <c r="Q19"/>
  <c r="Q23"/>
  <c r="Q27"/>
  <c r="M55" i="29" l="1"/>
  <c r="O54"/>
  <c r="P54" s="1"/>
  <c r="M29"/>
  <c r="O30"/>
  <c r="P30" s="1"/>
  <c r="AE30" i="41"/>
  <c r="AF29"/>
  <c r="AH29" s="1"/>
  <c r="R8" i="28"/>
  <c r="R9"/>
  <c r="R13"/>
  <c r="R17"/>
  <c r="R21"/>
  <c r="R25"/>
  <c r="R12"/>
  <c r="R16"/>
  <c r="R20"/>
  <c r="R24"/>
  <c r="R11"/>
  <c r="R15"/>
  <c r="R19"/>
  <c r="R23"/>
  <c r="R27"/>
  <c r="R10"/>
  <c r="R14"/>
  <c r="R18"/>
  <c r="R22"/>
  <c r="R26"/>
  <c r="S7"/>
  <c r="M28" i="29" l="1"/>
  <c r="O29"/>
  <c r="P29" s="1"/>
  <c r="M56"/>
  <c r="O55"/>
  <c r="P55" s="1"/>
  <c r="AF30" i="41"/>
  <c r="AH30" s="1"/>
  <c r="AE31"/>
  <c r="S8" i="28"/>
  <c r="S11"/>
  <c r="S15"/>
  <c r="S19"/>
  <c r="S23"/>
  <c r="S27"/>
  <c r="S10"/>
  <c r="S14"/>
  <c r="S18"/>
  <c r="S22"/>
  <c r="S26"/>
  <c r="S9"/>
  <c r="S13"/>
  <c r="S17"/>
  <c r="S21"/>
  <c r="S25"/>
  <c r="S12"/>
  <c r="S16"/>
  <c r="S20"/>
  <c r="S24"/>
  <c r="T7"/>
  <c r="M27" i="29" l="1"/>
  <c r="O28"/>
  <c r="P28" s="1"/>
  <c r="M57"/>
  <c r="O56"/>
  <c r="P56" s="1"/>
  <c r="AF31" i="41"/>
  <c r="AH31" s="1"/>
  <c r="AE32"/>
  <c r="T8" i="28"/>
  <c r="T9"/>
  <c r="T13"/>
  <c r="T17"/>
  <c r="T21"/>
  <c r="T25"/>
  <c r="T12"/>
  <c r="T16"/>
  <c r="T20"/>
  <c r="T24"/>
  <c r="T11"/>
  <c r="T15"/>
  <c r="T19"/>
  <c r="T23"/>
  <c r="T27"/>
  <c r="T10"/>
  <c r="T14"/>
  <c r="T18"/>
  <c r="T22"/>
  <c r="T26"/>
  <c r="U7"/>
  <c r="M26" i="29" l="1"/>
  <c r="O27"/>
  <c r="P27" s="1"/>
  <c r="M58"/>
  <c r="O57"/>
  <c r="P57" s="1"/>
  <c r="AF32" i="41"/>
  <c r="AH32" s="1"/>
  <c r="AE33"/>
  <c r="U8" i="28"/>
  <c r="V7"/>
  <c r="U9"/>
  <c r="U13"/>
  <c r="U17"/>
  <c r="U21"/>
  <c r="U25"/>
  <c r="U12"/>
  <c r="U16"/>
  <c r="U20"/>
  <c r="U24"/>
  <c r="U11"/>
  <c r="U15"/>
  <c r="U19"/>
  <c r="U23"/>
  <c r="U27"/>
  <c r="U10"/>
  <c r="U14"/>
  <c r="U18"/>
  <c r="U22"/>
  <c r="U26"/>
  <c r="M25" i="29" l="1"/>
  <c r="O26"/>
  <c r="P26" s="1"/>
  <c r="M59"/>
  <c r="O58"/>
  <c r="P58" s="1"/>
  <c r="AE34" i="41"/>
  <c r="AF33"/>
  <c r="AH33" s="1"/>
  <c r="V8" i="28"/>
  <c r="V12"/>
  <c r="V16"/>
  <c r="V20"/>
  <c r="V24"/>
  <c r="V11"/>
  <c r="V15"/>
  <c r="V19"/>
  <c r="V23"/>
  <c r="V27"/>
  <c r="V10"/>
  <c r="V14"/>
  <c r="V18"/>
  <c r="V22"/>
  <c r="V26"/>
  <c r="V9"/>
  <c r="V13"/>
  <c r="V17"/>
  <c r="V21"/>
  <c r="V25"/>
  <c r="M24" i="29" l="1"/>
  <c r="O25"/>
  <c r="P25" s="1"/>
  <c r="M60"/>
  <c r="O59"/>
  <c r="P59" s="1"/>
  <c r="AF34" i="41"/>
  <c r="AH34" s="1"/>
  <c r="AE35"/>
  <c r="M61" i="29" l="1"/>
  <c r="O60"/>
  <c r="P60" s="1"/>
  <c r="M23"/>
  <c r="O24"/>
  <c r="P24" s="1"/>
  <c r="AF35" i="41"/>
  <c r="AH35" s="1"/>
  <c r="AE36"/>
  <c r="M62" i="29" l="1"/>
  <c r="O62" s="1"/>
  <c r="P62" s="1"/>
  <c r="O61"/>
  <c r="P61" s="1"/>
  <c r="M22"/>
  <c r="O22" s="1"/>
  <c r="P22" s="1"/>
  <c r="O23"/>
  <c r="P23" s="1"/>
  <c r="AF36" i="41"/>
  <c r="AH36" s="1"/>
  <c r="AE37"/>
  <c r="AE38" l="1"/>
  <c r="AF37"/>
  <c r="AH37" s="1"/>
  <c r="AF38" l="1"/>
  <c r="AH38" s="1"/>
  <c r="AE39"/>
  <c r="AF39" l="1"/>
  <c r="AH39" s="1"/>
  <c r="AE40"/>
  <c r="AF40" l="1"/>
  <c r="AH40" s="1"/>
  <c r="AE41"/>
  <c r="AF41" s="1"/>
  <c r="AH41" s="1"/>
</calcChain>
</file>

<file path=xl/sharedStrings.xml><?xml version="1.0" encoding="utf-8"?>
<sst xmlns="http://schemas.openxmlformats.org/spreadsheetml/2006/main" count="1273" uniqueCount="404">
  <si>
    <t>売上額</t>
    <rPh sb="0" eb="2">
      <t>ウリアゲ</t>
    </rPh>
    <rPh sb="2" eb="3">
      <t>ガク</t>
    </rPh>
    <phoneticPr fontId="1"/>
  </si>
  <si>
    <t>売上数</t>
    <rPh sb="0" eb="2">
      <t>ウリアゲ</t>
    </rPh>
    <rPh sb="2" eb="3">
      <t>スウ</t>
    </rPh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</si>
  <si>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</si>
  <si>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</si>
  <si>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合計</t>
    <rPh sb="0" eb="2">
      <t>ゴウケイ</t>
    </rPh>
    <phoneticPr fontId="1"/>
  </si>
  <si>
    <t>標準偏差</t>
    <rPh sb="0" eb="2">
      <t>ヒョウジュン</t>
    </rPh>
    <rPh sb="2" eb="4">
      <t>ヘンサ</t>
    </rPh>
    <phoneticPr fontId="1"/>
  </si>
  <si>
    <t>→ここ(緋色)にデータをセットする</t>
    <phoneticPr fontId="1"/>
  </si>
  <si>
    <t>データ数</t>
    <rPh sb="3" eb="4">
      <t>スウ</t>
    </rPh>
    <phoneticPr fontId="1"/>
  </si>
  <si>
    <t>残差</t>
    <rPh sb="0" eb="2">
      <t>ザンサ</t>
    </rPh>
    <phoneticPr fontId="1"/>
  </si>
  <si>
    <t>自由度</t>
    <rPh sb="0" eb="3">
      <t>ジユウド</t>
    </rPh>
    <phoneticPr fontId="1"/>
  </si>
  <si>
    <t>平均の差</t>
    <rPh sb="0" eb="2">
      <t>ヘイキン</t>
    </rPh>
    <rPh sb="3" eb="4">
      <t>サ</t>
    </rPh>
    <phoneticPr fontId="1"/>
  </si>
  <si>
    <t>統計量</t>
    <rPh sb="0" eb="2">
      <t>トウケイ</t>
    </rPh>
    <rPh sb="2" eb="3">
      <t>リョウ</t>
    </rPh>
    <phoneticPr fontId="1"/>
  </si>
  <si>
    <t>確率</t>
    <rPh sb="0" eb="2">
      <t>カクリツ</t>
    </rPh>
    <phoneticPr fontId="1"/>
  </si>
  <si>
    <t>有意水準</t>
    <rPh sb="0" eb="2">
      <t>ユウイ</t>
    </rPh>
    <rPh sb="2" eb="4">
      <t>スイジュン</t>
    </rPh>
    <phoneticPr fontId="1"/>
  </si>
  <si>
    <t>傾き</t>
    <rPh sb="0" eb="1">
      <t>カタム</t>
    </rPh>
    <phoneticPr fontId="1"/>
  </si>
  <si>
    <t>切片</t>
    <rPh sb="0" eb="2">
      <t>セッペン</t>
    </rPh>
    <phoneticPr fontId="1"/>
  </si>
  <si>
    <t>相関係数</t>
    <rPh sb="0" eb="2">
      <t>ソウカン</t>
    </rPh>
    <rPh sb="2" eb="4">
      <t>ケイスウ</t>
    </rPh>
    <phoneticPr fontId="1"/>
  </si>
  <si>
    <t>基準</t>
    <rPh sb="0" eb="2">
      <t>キジュン</t>
    </rPh>
    <phoneticPr fontId="1"/>
  </si>
  <si>
    <t>月</t>
  </si>
  <si>
    <t>月</t>
    <rPh sb="0" eb="1">
      <t>ツキ</t>
    </rPh>
    <phoneticPr fontId="1"/>
  </si>
  <si>
    <t>■１．売れる時期を把握する</t>
    <rPh sb="3" eb="4">
      <t>ウ</t>
    </rPh>
    <rPh sb="6" eb="8">
      <t>ジキ</t>
    </rPh>
    <rPh sb="9" eb="11">
      <t>ハアク</t>
    </rPh>
    <phoneticPr fontId="1"/>
  </si>
  <si>
    <t>●春物</t>
    <rPh sb="1" eb="2">
      <t>ハル</t>
    </rPh>
    <rPh sb="2" eb="3">
      <t>モノ</t>
    </rPh>
    <phoneticPr fontId="1"/>
  </si>
  <si>
    <t>●冬物</t>
    <rPh sb="1" eb="2">
      <t>フユ</t>
    </rPh>
    <rPh sb="2" eb="3">
      <t>モノ</t>
    </rPh>
    <phoneticPr fontId="1"/>
  </si>
  <si>
    <t>●天候</t>
    <rPh sb="1" eb="3">
      <t>テンコウ</t>
    </rPh>
    <phoneticPr fontId="1"/>
  </si>
  <si>
    <t>●地域</t>
    <rPh sb="1" eb="3">
      <t>チイキ</t>
    </rPh>
    <phoneticPr fontId="1"/>
  </si>
  <si>
    <t>●時間帯</t>
    <rPh sb="1" eb="4">
      <t>ジカンタイ</t>
    </rPh>
    <phoneticPr fontId="1"/>
  </si>
  <si>
    <t>●曜日</t>
    <rPh sb="1" eb="3">
      <t>ヨウビ</t>
    </rPh>
    <phoneticPr fontId="1"/>
  </si>
  <si>
    <t>札幌店</t>
    <rPh sb="0" eb="3">
      <t>サッポロテン</t>
    </rPh>
    <phoneticPr fontId="1"/>
  </si>
  <si>
    <t>仙台店</t>
    <rPh sb="0" eb="3">
      <t>センダイテン</t>
    </rPh>
    <phoneticPr fontId="1"/>
  </si>
  <si>
    <t>新宿店</t>
    <rPh sb="0" eb="3">
      <t>シンジュクテン</t>
    </rPh>
    <phoneticPr fontId="1"/>
  </si>
  <si>
    <t>銀座店</t>
    <rPh sb="0" eb="2">
      <t>ギンザ</t>
    </rPh>
    <rPh sb="2" eb="3">
      <t>テン</t>
    </rPh>
    <phoneticPr fontId="1"/>
  </si>
  <si>
    <t>梅田店</t>
    <rPh sb="0" eb="2">
      <t>ウメダ</t>
    </rPh>
    <rPh sb="2" eb="3">
      <t>テン</t>
    </rPh>
    <phoneticPr fontId="1"/>
  </si>
  <si>
    <t>神戸店</t>
    <rPh sb="0" eb="2">
      <t>コウベ</t>
    </rPh>
    <rPh sb="2" eb="3">
      <t>テン</t>
    </rPh>
    <phoneticPr fontId="1"/>
  </si>
  <si>
    <t>広島店</t>
    <rPh sb="0" eb="3">
      <t>ヒロシマテン</t>
    </rPh>
    <phoneticPr fontId="1"/>
  </si>
  <si>
    <t>福岡店</t>
    <rPh sb="0" eb="3">
      <t>フクオカテン</t>
    </rPh>
    <phoneticPr fontId="1"/>
  </si>
  <si>
    <t>快晴</t>
  </si>
  <si>
    <t>快晴</t>
    <rPh sb="0" eb="2">
      <t>カイセイ</t>
    </rPh>
    <phoneticPr fontId="1"/>
  </si>
  <si>
    <t>晴れ</t>
  </si>
  <si>
    <t>晴れ</t>
    <rPh sb="0" eb="1">
      <t>ハ</t>
    </rPh>
    <phoneticPr fontId="1"/>
  </si>
  <si>
    <t>曇り</t>
  </si>
  <si>
    <t>曇り</t>
    <rPh sb="0" eb="1">
      <t>クモ</t>
    </rPh>
    <phoneticPr fontId="1"/>
  </si>
  <si>
    <t>雨</t>
    <rPh sb="0" eb="1">
      <t>アメ</t>
    </rPh>
    <phoneticPr fontId="1"/>
  </si>
  <si>
    <t>日</t>
  </si>
  <si>
    <t>日</t>
    <rPh sb="0" eb="1">
      <t>ニチ</t>
    </rPh>
    <phoneticPr fontId="1"/>
  </si>
  <si>
    <t>月</t>
    <rPh sb="0" eb="1">
      <t>ゲツ</t>
    </rPh>
    <phoneticPr fontId="1"/>
  </si>
  <si>
    <t>火</t>
  </si>
  <si>
    <t>火</t>
    <rPh sb="0" eb="1">
      <t>ヒ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</si>
  <si>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</si>
  <si>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</si>
  <si>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</si>
  <si>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</si>
  <si>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</si>
  <si>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</si>
  <si>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</si>
  <si>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ツチ</t>
    </rPh>
    <phoneticPr fontId="1"/>
  </si>
  <si>
    <t>●売上額</t>
    <rPh sb="1" eb="3">
      <t>ウリアゲ</t>
    </rPh>
    <rPh sb="3" eb="4">
      <t>ガク</t>
    </rPh>
    <phoneticPr fontId="1"/>
  </si>
  <si>
    <t>●売上数</t>
    <rPh sb="1" eb="3">
      <t>ウリアゲ</t>
    </rPh>
    <rPh sb="3" eb="4">
      <t>スウ</t>
    </rPh>
    <phoneticPr fontId="1"/>
  </si>
  <si>
    <t>判定</t>
    <rPh sb="0" eb="2">
      <t>ハンテイ</t>
    </rPh>
    <phoneticPr fontId="1"/>
  </si>
  <si>
    <t>小雨</t>
  </si>
  <si>
    <t>小雨</t>
    <rPh sb="0" eb="2">
      <t>コサメ</t>
    </rPh>
    <phoneticPr fontId="1"/>
  </si>
  <si>
    <t>大雨</t>
  </si>
  <si>
    <t>大雨</t>
    <rPh sb="0" eb="2">
      <t>オオアメ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</si>
  <si>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</si>
  <si>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</si>
  <si>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4月</t>
  </si>
  <si>
    <t>3月</t>
  </si>
  <si>
    <t>3月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</si>
  <si>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</si>
  <si>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</si>
  <si>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</si>
  <si>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</si>
  <si>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</si>
  <si>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</si>
  <si>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</si>
  <si>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</si>
  <si>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12月</t>
    <rPh sb="2" eb="3">
      <t>ガツ</t>
    </rPh>
    <phoneticPr fontId="1"/>
  </si>
  <si>
    <t>経費</t>
    <rPh sb="0" eb="2">
      <t>ケイヒ</t>
    </rPh>
    <phoneticPr fontId="1"/>
  </si>
  <si>
    <t>固定費</t>
    <rPh sb="0" eb="3">
      <t>コテイヒ</t>
    </rPh>
    <phoneticPr fontId="1"/>
  </si>
  <si>
    <t>変動費</t>
    <rPh sb="0" eb="2">
      <t>ヘンドウ</t>
    </rPh>
    <rPh sb="2" eb="3">
      <t>ヒ</t>
    </rPh>
    <phoneticPr fontId="1"/>
  </si>
  <si>
    <t>回収予定月</t>
    <rPh sb="0" eb="2">
      <t>カイシュウ</t>
    </rPh>
    <rPh sb="2" eb="4">
      <t>ヨテイ</t>
    </rPh>
    <rPh sb="4" eb="5">
      <t>ツキ</t>
    </rPh>
    <phoneticPr fontId="1"/>
  </si>
  <si>
    <t>天気</t>
    <rPh sb="0" eb="2">
      <t>テンキ</t>
    </rPh>
    <phoneticPr fontId="1"/>
  </si>
  <si>
    <t>時間帯</t>
    <rPh sb="0" eb="3">
      <t>ジカンタイ</t>
    </rPh>
    <phoneticPr fontId="1"/>
  </si>
  <si>
    <t>回帰</t>
  </si>
  <si>
    <t>切片</t>
  </si>
  <si>
    <t>春物</t>
  </si>
  <si>
    <t>夏物</t>
    <rPh sb="0" eb="2">
      <t>ナツモノ</t>
    </rPh>
    <phoneticPr fontId="1"/>
  </si>
  <si>
    <t>秋物</t>
    <rPh sb="0" eb="1">
      <t>アキ</t>
    </rPh>
    <rPh sb="1" eb="2">
      <t>モノ</t>
    </rPh>
    <phoneticPr fontId="1"/>
  </si>
  <si>
    <t>冬物</t>
    <rPh sb="0" eb="2">
      <t>フユモノ</t>
    </rPh>
    <phoneticPr fontId="1"/>
  </si>
  <si>
    <t>残差</t>
  </si>
  <si>
    <t>1月</t>
    <rPh sb="1" eb="2">
      <t>ガツ</t>
    </rPh>
    <phoneticPr fontId="1"/>
  </si>
  <si>
    <t>2月</t>
    <rPh sb="1" eb="2">
      <t>ガツ</t>
    </rPh>
    <phoneticPr fontId="1"/>
  </si>
  <si>
    <t>■【補足】１．売れる時期を把握する</t>
    <rPh sb="7" eb="8">
      <t>ウ</t>
    </rPh>
    <rPh sb="10" eb="12">
      <t>ジキ</t>
    </rPh>
    <rPh sb="13" eb="15">
      <t>ハアク</t>
    </rPh>
    <phoneticPr fontId="1"/>
  </si>
  <si>
    <t>→グループ分けされていない場合、平均を検定することで、売れる時期別に商品をグルーピングする</t>
    <rPh sb="5" eb="6">
      <t>ワ</t>
    </rPh>
    <rPh sb="13" eb="15">
      <t>バアイ</t>
    </rPh>
    <rPh sb="16" eb="18">
      <t>ヘイキン</t>
    </rPh>
    <rPh sb="19" eb="21">
      <t>ケンテイ</t>
    </rPh>
    <rPh sb="27" eb="28">
      <t>ウ</t>
    </rPh>
    <rPh sb="30" eb="32">
      <t>ジキ</t>
    </rPh>
    <rPh sb="32" eb="33">
      <t>ベツ</t>
    </rPh>
    <rPh sb="34" eb="36">
      <t>ショウヒン</t>
    </rPh>
    <phoneticPr fontId="1"/>
  </si>
  <si>
    <t>※もしくは売上数</t>
    <rPh sb="5" eb="7">
      <t>ウリアゲ</t>
    </rPh>
    <rPh sb="7" eb="8">
      <t>スウ</t>
    </rPh>
    <phoneticPr fontId="1"/>
  </si>
  <si>
    <t>春期</t>
    <rPh sb="0" eb="1">
      <t>ハル</t>
    </rPh>
    <rPh sb="1" eb="2">
      <t>キ</t>
    </rPh>
    <phoneticPr fontId="1"/>
  </si>
  <si>
    <t>夏期</t>
    <rPh sb="0" eb="1">
      <t>ナツ</t>
    </rPh>
    <phoneticPr fontId="1"/>
  </si>
  <si>
    <t>秋期</t>
    <rPh sb="0" eb="1">
      <t>アキ</t>
    </rPh>
    <rPh sb="1" eb="2">
      <t>キ</t>
    </rPh>
    <phoneticPr fontId="1"/>
  </si>
  <si>
    <t>冬期</t>
    <rPh sb="0" eb="1">
      <t>フユ</t>
    </rPh>
    <phoneticPr fontId="1"/>
  </si>
  <si>
    <t>年間</t>
    <rPh sb="0" eb="2">
      <t>ネンカン</t>
    </rPh>
    <phoneticPr fontId="1"/>
  </si>
  <si>
    <t>(全体)</t>
    <rPh sb="1" eb="3">
      <t>ゼンタイ</t>
    </rPh>
    <phoneticPr fontId="1"/>
  </si>
  <si>
    <t>母平均</t>
    <rPh sb="0" eb="1">
      <t>ハハ</t>
    </rPh>
    <rPh sb="1" eb="3">
      <t>ヘイキン</t>
    </rPh>
    <phoneticPr fontId="1"/>
  </si>
  <si>
    <t>標本平均</t>
    <rPh sb="0" eb="2">
      <t>ヒョウホン</t>
    </rPh>
    <rPh sb="2" eb="4">
      <t>ヘイキン</t>
    </rPh>
    <phoneticPr fontId="1"/>
  </si>
  <si>
    <t>自由度</t>
  </si>
  <si>
    <t>売上額(計算の事情により3月開始)</t>
    <rPh sb="0" eb="2">
      <t>ウリアゲ</t>
    </rPh>
    <rPh sb="2" eb="3">
      <t>ガク</t>
    </rPh>
    <rPh sb="4" eb="6">
      <t>ケイサン</t>
    </rPh>
    <rPh sb="7" eb="9">
      <t>ジジョウ</t>
    </rPh>
    <rPh sb="13" eb="14">
      <t>ガツ</t>
    </rPh>
    <rPh sb="14" eb="16">
      <t>カイシ</t>
    </rPh>
    <phoneticPr fontId="1"/>
  </si>
  <si>
    <t>※標準偏差が0⇒0とする</t>
    <rPh sb="1" eb="3">
      <t>ヒョウジュン</t>
    </rPh>
    <rPh sb="3" eb="5">
      <t>ヘンサ</t>
    </rPh>
    <phoneticPr fontId="1"/>
  </si>
  <si>
    <t>マウンテンパーカー</t>
  </si>
  <si>
    <t>マウンテンパーカー</t>
    <phoneticPr fontId="1"/>
  </si>
  <si>
    <t>ピーチシャツ</t>
  </si>
  <si>
    <t>ピーチシャツ</t>
    <phoneticPr fontId="1"/>
  </si>
  <si>
    <t>チェックパーカー</t>
  </si>
  <si>
    <t>チェックパーカー</t>
    <phoneticPr fontId="1"/>
  </si>
  <si>
    <t>エコバッグ</t>
  </si>
  <si>
    <t>エコバッグ</t>
    <phoneticPr fontId="1"/>
  </si>
  <si>
    <t>アルファベットシャツ</t>
  </si>
  <si>
    <t>アルファベットシャツ</t>
    <phoneticPr fontId="1"/>
  </si>
  <si>
    <t>無地ニット</t>
    <rPh sb="0" eb="2">
      <t>ムジ</t>
    </rPh>
    <phoneticPr fontId="1"/>
  </si>
  <si>
    <t>リバーシブルシャツ</t>
  </si>
  <si>
    <t>リバーシブルシャツ</t>
    <phoneticPr fontId="1"/>
  </si>
  <si>
    <t>ナイロンタンク</t>
  </si>
  <si>
    <t>ナイロンタンク</t>
    <phoneticPr fontId="1"/>
  </si>
  <si>
    <t>デニムズボン</t>
  </si>
  <si>
    <t>デニムズボン</t>
    <phoneticPr fontId="1"/>
  </si>
  <si>
    <t>ホワイトソックス</t>
  </si>
  <si>
    <t>ホワイトソックス</t>
    <phoneticPr fontId="1"/>
  </si>
  <si>
    <t>マルチボーダータンク</t>
  </si>
  <si>
    <t>マルチボーダータンク</t>
    <phoneticPr fontId="1"/>
  </si>
  <si>
    <t>ゆったりパンツ</t>
  </si>
  <si>
    <t>ゆったりパンツ</t>
    <phoneticPr fontId="1"/>
  </si>
  <si>
    <t>キラキラ手袋ブラック</t>
    <rPh sb="4" eb="6">
      <t>テブクロ</t>
    </rPh>
    <phoneticPr fontId="1"/>
  </si>
  <si>
    <t>ふかふかニット</t>
  </si>
  <si>
    <t>ふかふかニット</t>
    <phoneticPr fontId="1"/>
  </si>
  <si>
    <t>軽量フリース</t>
    <rPh sb="0" eb="2">
      <t>ケイリョウ</t>
    </rPh>
    <phoneticPr fontId="1"/>
  </si>
  <si>
    <t>チェックシャツ</t>
  </si>
  <si>
    <t>チェックシャツ</t>
    <phoneticPr fontId="1"/>
  </si>
  <si>
    <t>フード</t>
  </si>
  <si>
    <t>フード</t>
    <phoneticPr fontId="1"/>
  </si>
  <si>
    <t>ウールマフラー</t>
  </si>
  <si>
    <t>ウールマフラー</t>
    <phoneticPr fontId="1"/>
  </si>
  <si>
    <t>コットン手袋</t>
    <rPh sb="4" eb="6">
      <t>テブクロ</t>
    </rPh>
    <phoneticPr fontId="1"/>
  </si>
  <si>
    <t>ボーダーシャツ</t>
  </si>
  <si>
    <t>ボーダーシャツ</t>
    <phoneticPr fontId="1"/>
  </si>
  <si>
    <t>無地シャツ</t>
    <rPh sb="0" eb="2">
      <t>ムジ</t>
    </rPh>
    <phoneticPr fontId="1"/>
  </si>
  <si>
    <t>ストライプタンク</t>
  </si>
  <si>
    <t>ストライプタンク</t>
    <phoneticPr fontId="1"/>
  </si>
  <si>
    <t>イエローレインコート</t>
  </si>
  <si>
    <t>イエローレインコート</t>
    <phoneticPr fontId="1"/>
  </si>
  <si>
    <t>ハイカットスニーカー</t>
  </si>
  <si>
    <t>ハイカットスニーカー</t>
    <phoneticPr fontId="1"/>
  </si>
  <si>
    <t>スカイシャツ</t>
  </si>
  <si>
    <t>スカイシャツ</t>
    <phoneticPr fontId="1"/>
  </si>
  <si>
    <t>ソックス426</t>
  </si>
  <si>
    <t>ソックス426</t>
    <phoneticPr fontId="1"/>
  </si>
  <si>
    <t>ピアス823</t>
  </si>
  <si>
    <t>ピアス823</t>
    <phoneticPr fontId="1"/>
  </si>
  <si>
    <t>Gバッグ</t>
  </si>
  <si>
    <t>Gバッグ</t>
    <phoneticPr fontId="1"/>
  </si>
  <si>
    <t>レザーベルトR</t>
  </si>
  <si>
    <t>レザーベルトR</t>
    <phoneticPr fontId="1"/>
  </si>
  <si>
    <t>スカーフB87</t>
  </si>
  <si>
    <t>スカーフB87</t>
    <phoneticPr fontId="1"/>
  </si>
  <si>
    <t>3-5月</t>
    <rPh sb="3" eb="4">
      <t>ガツ</t>
    </rPh>
    <phoneticPr fontId="1"/>
  </si>
  <si>
    <t>6-8月</t>
    <rPh sb="3" eb="4">
      <t>ガツ</t>
    </rPh>
    <phoneticPr fontId="1"/>
  </si>
  <si>
    <t>9-11月</t>
    <rPh sb="4" eb="5">
      <t>ガツ</t>
    </rPh>
    <phoneticPr fontId="1"/>
  </si>
  <si>
    <t>12-2月</t>
    <rPh sb="4" eb="5">
      <t>ガツ</t>
    </rPh>
    <phoneticPr fontId="1"/>
  </si>
  <si>
    <t>3ヵ月で分けているため</t>
    <rPh sb="2" eb="3">
      <t>ゲツ</t>
    </rPh>
    <rPh sb="4" eb="5">
      <t>ワ</t>
    </rPh>
    <phoneticPr fontId="1"/>
  </si>
  <si>
    <t>※ここでは以下の確率からのみ判定する</t>
    <rPh sb="5" eb="7">
      <t>イカ</t>
    </rPh>
    <rPh sb="8" eb="10">
      <t>カクリツ</t>
    </rPh>
    <rPh sb="14" eb="16">
      <t>ハンテイ</t>
    </rPh>
    <phoneticPr fontId="1"/>
  </si>
  <si>
    <t>(通常は0.05)</t>
    <rPh sb="1" eb="3">
      <t>ツウジョウ</t>
    </rPh>
    <phoneticPr fontId="1"/>
  </si>
  <si>
    <t>※売上額</t>
    <rPh sb="1" eb="3">
      <t>ウリアゲ</t>
    </rPh>
    <rPh sb="3" eb="4">
      <t>ガク</t>
    </rPh>
    <phoneticPr fontId="1"/>
  </si>
  <si>
    <t>ここまで→</t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</si>
  <si>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し春期の降順で整列し、春期が0のものは除外する</t>
    </r>
    <rPh sb="10" eb="11">
      <t>アタイ</t>
    </rPh>
    <rPh sb="11" eb="12">
      <t>ハ</t>
    </rPh>
    <rPh sb="13" eb="14">
      <t>ツ</t>
    </rPh>
    <rPh sb="16" eb="18">
      <t>シュンキ</t>
    </rPh>
    <rPh sb="19" eb="21">
      <t>コウジュン</t>
    </rPh>
    <rPh sb="22" eb="24">
      <t>セイレツ</t>
    </rPh>
    <rPh sb="26" eb="28">
      <t>シュンキ</t>
    </rPh>
    <rPh sb="34" eb="36">
      <t>ジョガイ</t>
    </rPh>
    <phoneticPr fontId="1"/>
  </si>
  <si>
    <t>●夏物</t>
    <rPh sb="1" eb="2">
      <t>ナツ</t>
    </rPh>
    <rPh sb="2" eb="3">
      <t>モノ</t>
    </rPh>
    <phoneticPr fontId="1"/>
  </si>
  <si>
    <t>●秋物</t>
    <rPh sb="1" eb="2">
      <t>アキ</t>
    </rPh>
    <rPh sb="2" eb="3">
      <t>モノ</t>
    </rPh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</si>
  <si>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し夏期の降順で整列し、夏期が0のものは除外する</t>
    </r>
    <rPh sb="10" eb="11">
      <t>アタイ</t>
    </rPh>
    <rPh sb="11" eb="12">
      <t>ハ</t>
    </rPh>
    <rPh sb="13" eb="14">
      <t>ツ</t>
    </rPh>
    <rPh sb="16" eb="18">
      <t>カキ</t>
    </rPh>
    <rPh sb="19" eb="21">
      <t>コウジュン</t>
    </rPh>
    <rPh sb="22" eb="24">
      <t>セイレツ</t>
    </rPh>
    <rPh sb="26" eb="28">
      <t>カキ</t>
    </rPh>
    <rPh sb="34" eb="36">
      <t>ジョガイ</t>
    </rPh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</si>
  <si>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し秋期の降順で整列し、秋期が0のものは除外する</t>
    </r>
    <rPh sb="10" eb="11">
      <t>アタイ</t>
    </rPh>
    <rPh sb="11" eb="12">
      <t>ハ</t>
    </rPh>
    <rPh sb="13" eb="14">
      <t>ツ</t>
    </rPh>
    <rPh sb="16" eb="17">
      <t>アキ</t>
    </rPh>
    <rPh sb="17" eb="18">
      <t>キ</t>
    </rPh>
    <rPh sb="19" eb="21">
      <t>コウジュン</t>
    </rPh>
    <rPh sb="22" eb="24">
      <t>セイレツ</t>
    </rPh>
    <rPh sb="26" eb="28">
      <t>シュウキ</t>
    </rPh>
    <rPh sb="34" eb="36">
      <t>ジョガイ</t>
    </rPh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</si>
  <si>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し冬期の降順で整列し、冬期が0のものは除外する</t>
    </r>
    <rPh sb="10" eb="11">
      <t>アタイ</t>
    </rPh>
    <rPh sb="11" eb="12">
      <t>ハ</t>
    </rPh>
    <rPh sb="13" eb="14">
      <t>ツ</t>
    </rPh>
    <rPh sb="16" eb="18">
      <t>トウキ</t>
    </rPh>
    <rPh sb="19" eb="21">
      <t>コウジュン</t>
    </rPh>
    <rPh sb="22" eb="24">
      <t>セイレツ</t>
    </rPh>
    <rPh sb="26" eb="28">
      <t>トウキ</t>
    </rPh>
    <rPh sb="34" eb="36">
      <t>ジョガイ</t>
    </rPh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</si>
  <si>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し年間の降順で整列し、年間が0のものは除外する</t>
    </r>
    <rPh sb="10" eb="11">
      <t>アタイ</t>
    </rPh>
    <rPh sb="11" eb="12">
      <t>ハ</t>
    </rPh>
    <rPh sb="13" eb="14">
      <t>ツ</t>
    </rPh>
    <rPh sb="16" eb="18">
      <t>ネンカン</t>
    </rPh>
    <rPh sb="19" eb="21">
      <t>コウジュン</t>
    </rPh>
    <rPh sb="22" eb="24">
      <t>セイレツ</t>
    </rPh>
    <rPh sb="26" eb="28">
      <t>ネンカン</t>
    </rPh>
    <rPh sb="34" eb="36">
      <t>ジョガイ</t>
    </rPh>
    <phoneticPr fontId="1"/>
  </si>
  <si>
    <t>●年間</t>
    <rPh sb="1" eb="3">
      <t>ネンカン</t>
    </rPh>
    <phoneticPr fontId="1"/>
  </si>
  <si>
    <t>地域</t>
    <rPh sb="0" eb="2">
      <t>チイキ</t>
    </rPh>
    <phoneticPr fontId="1"/>
  </si>
  <si>
    <t>曜日</t>
    <rPh sb="0" eb="2">
      <t>ヨウビ</t>
    </rPh>
    <phoneticPr fontId="1"/>
  </si>
  <si>
    <t>天候</t>
    <rPh sb="0" eb="2">
      <t>テンコウ</t>
    </rPh>
    <phoneticPr fontId="1"/>
  </si>
  <si>
    <t>→月平均</t>
    <rPh sb="1" eb="4">
      <t>ツキヘイキン</t>
    </rPh>
    <phoneticPr fontId="1"/>
  </si>
  <si>
    <t>→日平均</t>
    <rPh sb="1" eb="2">
      <t>ニチ</t>
    </rPh>
    <rPh sb="2" eb="4">
      <t>ヘイキン</t>
    </rPh>
    <phoneticPr fontId="1"/>
  </si>
  <si>
    <t>→月平均</t>
    <rPh sb="1" eb="2">
      <t>ツキ</t>
    </rPh>
    <rPh sb="2" eb="4">
      <t>ヘイキン</t>
    </rPh>
    <phoneticPr fontId="1"/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</si>
  <si>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</si>
  <si>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</si>
  <si>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</si>
  <si>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</si>
  <si>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</si>
  <si>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</si>
  <si>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</si>
  <si>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合計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</si>
  <si>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</si>
  <si>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</si>
  <si>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</si>
  <si>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</si>
  <si>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</si>
  <si>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</si>
  <si>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</si>
  <si>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</si>
  <si>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</si>
  <si>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</si>
  <si>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</si>
  <si>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</si>
  <si>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X 値 2</t>
  </si>
  <si>
    <t>X 値 3</t>
  </si>
  <si>
    <t>X 値 4</t>
  </si>
  <si>
    <t>比率</t>
    <rPh sb="0" eb="2">
      <t>ヒリツ</t>
    </rPh>
    <phoneticPr fontId="1"/>
  </si>
  <si>
    <t>対比</t>
    <rPh sb="0" eb="2">
      <t>タイヒ</t>
    </rPh>
    <phoneticPr fontId="1"/>
  </si>
  <si>
    <t>X 値 5</t>
  </si>
  <si>
    <t>X 値 6</t>
  </si>
  <si>
    <t>X 値 7</t>
  </si>
  <si>
    <t>X 値 8</t>
  </si>
  <si>
    <t>水</t>
    <rPh sb="0" eb="1">
      <t>ミズ</t>
    </rPh>
    <phoneticPr fontId="1"/>
  </si>
  <si>
    <t>木</t>
    <rPh sb="0" eb="1">
      <t>キ</t>
    </rPh>
    <phoneticPr fontId="1"/>
  </si>
  <si>
    <t>金</t>
    <rPh sb="0" eb="1">
      <t>カネ</t>
    </rPh>
    <phoneticPr fontId="1"/>
  </si>
  <si>
    <t>休日</t>
    <rPh sb="0" eb="2">
      <t>キュウジツ</t>
    </rPh>
    <phoneticPr fontId="1"/>
  </si>
  <si>
    <t>平日</t>
    <rPh sb="0" eb="2">
      <t>ヘイジツ</t>
    </rPh>
    <phoneticPr fontId="1"/>
  </si>
  <si>
    <t>X 値 9</t>
  </si>
  <si>
    <t>X 値 10</t>
  </si>
  <si>
    <t>X 値 11</t>
  </si>
  <si>
    <t>X 値 12</t>
  </si>
  <si>
    <t>X 値 13</t>
  </si>
  <si>
    <t>X 値 14</t>
  </si>
  <si>
    <t>X 値 15</t>
  </si>
  <si>
    <t>X 値 16</t>
  </si>
  <si>
    <t>札幌</t>
  </si>
  <si>
    <t>札幌</t>
    <rPh sb="0" eb="2">
      <t>サッポロ</t>
    </rPh>
    <phoneticPr fontId="1"/>
  </si>
  <si>
    <t>仙台</t>
  </si>
  <si>
    <t>仙台</t>
    <rPh sb="0" eb="2">
      <t>センダイ</t>
    </rPh>
    <phoneticPr fontId="1"/>
  </si>
  <si>
    <t>新宿</t>
  </si>
  <si>
    <t>銀座</t>
  </si>
  <si>
    <t>梅田</t>
  </si>
  <si>
    <t>梅田</t>
    <rPh sb="0" eb="2">
      <t>ウメダ</t>
    </rPh>
    <phoneticPr fontId="1"/>
  </si>
  <si>
    <t>神戸</t>
  </si>
  <si>
    <t>神戸</t>
    <rPh sb="0" eb="2">
      <t>コウベ</t>
    </rPh>
    <phoneticPr fontId="1"/>
  </si>
  <si>
    <t>広島</t>
  </si>
  <si>
    <t>広島</t>
    <rPh sb="0" eb="2">
      <t>ヒロシマ</t>
    </rPh>
    <phoneticPr fontId="1"/>
  </si>
  <si>
    <t>福岡</t>
  </si>
  <si>
    <t>福岡</t>
    <rPh sb="0" eb="2">
      <t>フクオカ</t>
    </rPh>
    <phoneticPr fontId="1"/>
  </si>
  <si>
    <t>昼</t>
    <rPh sb="0" eb="1">
      <t>ヒル</t>
    </rPh>
    <phoneticPr fontId="1"/>
  </si>
  <si>
    <t>朝</t>
    <rPh sb="0" eb="1">
      <t>アサ</t>
    </rPh>
    <phoneticPr fontId="1"/>
  </si>
  <si>
    <t>夕方</t>
    <rPh sb="0" eb="2">
      <t>ユウガタ</t>
    </rPh>
    <phoneticPr fontId="1"/>
  </si>
  <si>
    <t>夜</t>
    <rPh sb="0" eb="1">
      <t>ヨル</t>
    </rPh>
    <phoneticPr fontId="1"/>
  </si>
  <si>
    <t>東京</t>
    <rPh sb="0" eb="2">
      <t>トウキョウ</t>
    </rPh>
    <phoneticPr fontId="1"/>
  </si>
  <si>
    <t>■２．環境要因を把握する</t>
    <rPh sb="3" eb="5">
      <t>カンキョウ</t>
    </rPh>
    <rPh sb="5" eb="7">
      <t>ヨウイン</t>
    </rPh>
    <rPh sb="8" eb="10">
      <t>ハアク</t>
    </rPh>
    <phoneticPr fontId="1"/>
  </si>
  <si>
    <t>■２．売上に対する環境要因の影響を把握する</t>
    <rPh sb="3" eb="5">
      <t>ウリアゲ</t>
    </rPh>
    <rPh sb="6" eb="7">
      <t>タイ</t>
    </rPh>
    <rPh sb="9" eb="11">
      <t>カンキョウ</t>
    </rPh>
    <rPh sb="11" eb="13">
      <t>ヨウイン</t>
    </rPh>
    <rPh sb="14" eb="16">
      <t>エイキョウ</t>
    </rPh>
    <rPh sb="17" eb="19">
      <t>ハアク</t>
    </rPh>
    <phoneticPr fontId="1"/>
  </si>
  <si>
    <t>説明変数</t>
    <rPh sb="0" eb="2">
      <t>セツメイ</t>
    </rPh>
    <rPh sb="2" eb="4">
      <t>ヘンスウ</t>
    </rPh>
    <phoneticPr fontId="1"/>
  </si>
  <si>
    <t>従属変数</t>
    <rPh sb="0" eb="2">
      <t>ジュウゾク</t>
    </rPh>
    <rPh sb="2" eb="4">
      <t>ヘンスウ</t>
    </rPh>
    <phoneticPr fontId="1"/>
  </si>
  <si>
    <t>朝(10,11,12)</t>
    <rPh sb="0" eb="1">
      <t>アサ</t>
    </rPh>
    <phoneticPr fontId="1"/>
  </si>
  <si>
    <t>昼(13,14,15)</t>
    <rPh sb="0" eb="1">
      <t>ヒル</t>
    </rPh>
    <phoneticPr fontId="1"/>
  </si>
  <si>
    <t>夕方(16,17,18)</t>
    <rPh sb="0" eb="2">
      <t>ユウガタ</t>
    </rPh>
    <phoneticPr fontId="1"/>
  </si>
  <si>
    <t>夜(19,20,21,22)</t>
    <rPh sb="0" eb="1">
      <t>ヨル</t>
    </rPh>
    <phoneticPr fontId="1"/>
  </si>
  <si>
    <t>休日(日,土)</t>
    <rPh sb="0" eb="2">
      <t>キュウジツ</t>
    </rPh>
    <rPh sb="3" eb="4">
      <t>ニチ</t>
    </rPh>
    <rPh sb="5" eb="6">
      <t>ツチ</t>
    </rPh>
    <phoneticPr fontId="1"/>
  </si>
  <si>
    <t>東京(新宿,銀座)</t>
    <rPh sb="0" eb="2">
      <t>トウキョウ</t>
    </rPh>
    <rPh sb="3" eb="5">
      <t>シンジュク</t>
    </rPh>
    <rPh sb="6" eb="8">
      <t>ギンザ</t>
    </rPh>
    <phoneticPr fontId="1"/>
  </si>
  <si>
    <t>平日(月,火,水,木,金)</t>
    <rPh sb="0" eb="2">
      <t>ヘイジツ</t>
    </rPh>
    <rPh sb="3" eb="4">
      <t>ゲツ</t>
    </rPh>
    <rPh sb="5" eb="6">
      <t>ヒ</t>
    </rPh>
    <rPh sb="7" eb="8">
      <t>ミズ</t>
    </rPh>
    <rPh sb="9" eb="10">
      <t>モク</t>
    </rPh>
    <rPh sb="11" eb="12">
      <t>キン</t>
    </rPh>
    <phoneticPr fontId="1"/>
  </si>
  <si>
    <t>晴れ(快晴,晴れ)</t>
    <rPh sb="0" eb="1">
      <t>ハ</t>
    </rPh>
    <rPh sb="3" eb="5">
      <t>カイセイ</t>
    </rPh>
    <rPh sb="6" eb="7">
      <t>ハ</t>
    </rPh>
    <phoneticPr fontId="1"/>
  </si>
  <si>
    <t>雨(小雨,大雨)</t>
    <rPh sb="0" eb="1">
      <t>アメ</t>
    </rPh>
    <rPh sb="2" eb="4">
      <t>コサメ</t>
    </rPh>
    <rPh sb="5" eb="7">
      <t>オオアメ</t>
    </rPh>
    <phoneticPr fontId="1"/>
  </si>
  <si>
    <t>●分析結果</t>
    <rPh sb="1" eb="3">
      <t>ブンセキ</t>
    </rPh>
    <rPh sb="3" eb="5">
      <t>ケッカ</t>
    </rPh>
    <phoneticPr fontId="1"/>
  </si>
  <si>
    <t>※質的変数は0or1に変換する</t>
    <rPh sb="1" eb="3">
      <t>シツテキ</t>
    </rPh>
    <rPh sb="3" eb="5">
      <t>ヘンスウ</t>
    </rPh>
    <rPh sb="11" eb="13">
      <t>ヘンカン</t>
    </rPh>
    <phoneticPr fontId="1"/>
  </si>
  <si>
    <t>■２．店舗の売上に対する環境要因の影響を把握する</t>
    <phoneticPr fontId="1"/>
  </si>
  <si>
    <t>推定売上数</t>
    <rPh sb="0" eb="2">
      <t>スイテイ</t>
    </rPh>
    <rPh sb="2" eb="4">
      <t>ウリアゲ</t>
    </rPh>
    <rPh sb="4" eb="5">
      <t>スウ</t>
    </rPh>
    <phoneticPr fontId="1"/>
  </si>
  <si>
    <t>経過日数</t>
    <rPh sb="0" eb="2">
      <t>ケイカ</t>
    </rPh>
    <rPh sb="2" eb="4">
      <t>ニッスウ</t>
    </rPh>
    <phoneticPr fontId="1"/>
  </si>
  <si>
    <t>保管期限</t>
    <rPh sb="0" eb="2">
      <t>ホカン</t>
    </rPh>
    <rPh sb="2" eb="4">
      <t>キゲン</t>
    </rPh>
    <phoneticPr fontId="1"/>
  </si>
  <si>
    <t>補填予定</t>
    <rPh sb="0" eb="2">
      <t>ホテン</t>
    </rPh>
    <rPh sb="2" eb="4">
      <t>ヨテイ</t>
    </rPh>
    <phoneticPr fontId="1"/>
  </si>
  <si>
    <t>※保管期限を過ぎると廃棄する</t>
    <rPh sb="1" eb="3">
      <t>ホカン</t>
    </rPh>
    <rPh sb="3" eb="5">
      <t>キゲン</t>
    </rPh>
    <rPh sb="6" eb="7">
      <t>ス</t>
    </rPh>
    <rPh sb="10" eb="12">
      <t>ハイキ</t>
    </rPh>
    <phoneticPr fontId="1"/>
  </si>
  <si>
    <t>※補填予定日に店舗の在庫を補填する</t>
    <rPh sb="1" eb="3">
      <t>ホテン</t>
    </rPh>
    <rPh sb="3" eb="5">
      <t>ヨテイ</t>
    </rPh>
    <rPh sb="5" eb="6">
      <t>ニチ</t>
    </rPh>
    <rPh sb="7" eb="9">
      <t>テンポ</t>
    </rPh>
    <rPh sb="10" eb="12">
      <t>ザイコ</t>
    </rPh>
    <rPh sb="13" eb="15">
      <t>ホテン</t>
    </rPh>
    <phoneticPr fontId="1"/>
  </si>
  <si>
    <t>→保管期限までに在庫を売り切る必要がある</t>
    <rPh sb="1" eb="3">
      <t>ホカン</t>
    </rPh>
    <rPh sb="3" eb="5">
      <t>キゲン</t>
    </rPh>
    <rPh sb="8" eb="10">
      <t>ザイコ</t>
    </rPh>
    <rPh sb="11" eb="12">
      <t>ウ</t>
    </rPh>
    <rPh sb="13" eb="14">
      <t>キ</t>
    </rPh>
    <rPh sb="15" eb="17">
      <t>ヒツヨウ</t>
    </rPh>
    <phoneticPr fontId="1"/>
  </si>
  <si>
    <t>※経過日数で指定する★</t>
    <rPh sb="1" eb="3">
      <t>ケイカ</t>
    </rPh>
    <rPh sb="3" eb="5">
      <t>ニッスウ</t>
    </rPh>
    <rPh sb="6" eb="8">
      <t>シテイ</t>
    </rPh>
    <phoneticPr fontId="1"/>
  </si>
  <si>
    <t>廃棄率</t>
    <rPh sb="0" eb="2">
      <t>ハイキ</t>
    </rPh>
    <rPh sb="2" eb="3">
      <t>リツ</t>
    </rPh>
    <phoneticPr fontId="1"/>
  </si>
  <si>
    <t>原価率</t>
    <rPh sb="0" eb="2">
      <t>ゲンカ</t>
    </rPh>
    <rPh sb="2" eb="3">
      <t>リツ</t>
    </rPh>
    <phoneticPr fontId="1"/>
  </si>
  <si>
    <t>原価</t>
    <rPh sb="0" eb="2">
      <t>ゲンカ</t>
    </rPh>
    <phoneticPr fontId="1"/>
  </si>
  <si>
    <t>↓選択</t>
    <rPh sb="1" eb="3">
      <t>センタク</t>
    </rPh>
    <phoneticPr fontId="1"/>
  </si>
  <si>
    <t>選択→</t>
    <rPh sb="0" eb="2">
      <t>センタク</t>
    </rPh>
    <phoneticPr fontId="1"/>
  </si>
  <si>
    <t>【原価率】</t>
    <rPh sb="1" eb="3">
      <t>ゲンカ</t>
    </rPh>
    <rPh sb="3" eb="4">
      <t>リツ</t>
    </rPh>
    <phoneticPr fontId="1"/>
  </si>
  <si>
    <t>【廃棄率】</t>
    <rPh sb="1" eb="3">
      <t>ハイキ</t>
    </rPh>
    <rPh sb="3" eb="4">
      <t>リツ</t>
    </rPh>
    <phoneticPr fontId="1"/>
  </si>
  <si>
    <t>→ここ(緋色)に原価を入力する</t>
    <rPh sb="8" eb="10">
      <t>ゲンカ</t>
    </rPh>
    <rPh sb="11" eb="13">
      <t>ニュウリョク</t>
    </rPh>
    <phoneticPr fontId="1"/>
  </si>
  <si>
    <t>売価</t>
    <rPh sb="0" eb="2">
      <t>バイカ</t>
    </rPh>
    <phoneticPr fontId="1"/>
  </si>
  <si>
    <t>→ここ(緋色)にデータを入力する</t>
    <rPh sb="12" eb="14">
      <t>ニュウリョク</t>
    </rPh>
    <phoneticPr fontId="1"/>
  </si>
  <si>
    <t>→ここ(緋色)にデータをセットする</t>
    <phoneticPr fontId="1"/>
  </si>
  <si>
    <t>→既存の商品の売価と売上数より</t>
    <rPh sb="1" eb="3">
      <t>キゾン</t>
    </rPh>
    <rPh sb="4" eb="6">
      <t>ショウヒン</t>
    </rPh>
    <rPh sb="7" eb="9">
      <t>バイカ</t>
    </rPh>
    <rPh sb="10" eb="12">
      <t>ウリアゲ</t>
    </rPh>
    <rPh sb="12" eb="13">
      <t>スウ</t>
    </rPh>
    <phoneticPr fontId="1"/>
  </si>
  <si>
    <t>推定売上数(逆数)</t>
    <rPh sb="0" eb="2">
      <t>スイテイ</t>
    </rPh>
    <rPh sb="2" eb="4">
      <t>ウリアゲ</t>
    </rPh>
    <rPh sb="4" eb="5">
      <t>スウ</t>
    </rPh>
    <rPh sb="6" eb="8">
      <t>ギャクスウ</t>
    </rPh>
    <phoneticPr fontId="1"/>
  </si>
  <si>
    <t>■４．原価率と廃棄率より価格設定する</t>
    <phoneticPr fontId="1"/>
  </si>
  <si>
    <t>■４．損益分岐点より価格設定する</t>
    <rPh sb="3" eb="5">
      <t>ソンエキ</t>
    </rPh>
    <rPh sb="5" eb="8">
      <t>ブンキテン</t>
    </rPh>
    <rPh sb="10" eb="12">
      <t>カカク</t>
    </rPh>
    <rPh sb="12" eb="14">
      <t>セッテイ</t>
    </rPh>
    <phoneticPr fontId="1"/>
  </si>
  <si>
    <t>売上数(逆数)</t>
    <rPh sb="0" eb="2">
      <t>ウリアゲ</t>
    </rPh>
    <rPh sb="2" eb="3">
      <t>スウ</t>
    </rPh>
    <rPh sb="4" eb="6">
      <t>ギャクスウ</t>
    </rPh>
    <phoneticPr fontId="1"/>
  </si>
  <si>
    <t>推定売上数(逆数）</t>
    <rPh sb="0" eb="2">
      <t>スイテイ</t>
    </rPh>
    <rPh sb="2" eb="4">
      <t>ウリアゲ</t>
    </rPh>
    <rPh sb="4" eb="5">
      <t>スウ</t>
    </rPh>
    <rPh sb="6" eb="8">
      <t>ギャクスウ</t>
    </rPh>
    <phoneticPr fontId="1"/>
  </si>
  <si>
    <t>推定売上額</t>
    <rPh sb="0" eb="2">
      <t>スイテイ</t>
    </rPh>
    <rPh sb="2" eb="4">
      <t>ウリアゲ</t>
    </rPh>
    <rPh sb="4" eb="5">
      <t>ガク</t>
    </rPh>
    <phoneticPr fontId="1"/>
  </si>
  <si>
    <t>■４．売価と売上数の関係から価格設定する</t>
    <rPh sb="3" eb="5">
      <t>バイカ</t>
    </rPh>
    <rPh sb="6" eb="8">
      <t>ウリアゲ</t>
    </rPh>
    <rPh sb="8" eb="9">
      <t>スウ</t>
    </rPh>
    <rPh sb="10" eb="12">
      <t>カンケイ</t>
    </rPh>
    <rPh sb="14" eb="16">
      <t>カカク</t>
    </rPh>
    <rPh sb="16" eb="18">
      <t>セッテイ</t>
    </rPh>
    <phoneticPr fontId="1"/>
  </si>
  <si>
    <t xml:space="preserve">   売上数が下がっている上側と売上数が極端に低い下側を外す</t>
    <rPh sb="3" eb="5">
      <t>ウリアゲ</t>
    </rPh>
    <rPh sb="5" eb="6">
      <t>スウ</t>
    </rPh>
    <rPh sb="7" eb="8">
      <t>サ</t>
    </rPh>
    <rPh sb="13" eb="14">
      <t>ウエ</t>
    </rPh>
    <rPh sb="14" eb="15">
      <t>ガワ</t>
    </rPh>
    <rPh sb="16" eb="18">
      <t>ウリアゲ</t>
    </rPh>
    <rPh sb="18" eb="19">
      <t>スウ</t>
    </rPh>
    <rPh sb="20" eb="22">
      <t>キョクタン</t>
    </rPh>
    <rPh sb="23" eb="24">
      <t>ヒク</t>
    </rPh>
    <rPh sb="25" eb="27">
      <t>シタガワ</t>
    </rPh>
    <rPh sb="28" eb="29">
      <t>ハズ</t>
    </rPh>
    <phoneticPr fontId="1"/>
  </si>
  <si>
    <t>●売価を一定間隔に調整</t>
    <rPh sb="1" eb="3">
      <t>バイカ</t>
    </rPh>
    <rPh sb="4" eb="6">
      <t>イッテイ</t>
    </rPh>
    <rPh sb="6" eb="8">
      <t>カンカク</t>
    </rPh>
    <rPh sb="9" eb="11">
      <t>チョウセイ</t>
    </rPh>
    <phoneticPr fontId="1"/>
  </si>
  <si>
    <t>●売上数</t>
    <rPh sb="1" eb="3">
      <t>ウリアゲ</t>
    </rPh>
    <rPh sb="3" eb="4">
      <t>スウ</t>
    </rPh>
    <phoneticPr fontId="1"/>
  </si>
  <si>
    <t>●推定売上数</t>
    <rPh sb="1" eb="3">
      <t>スイテイ</t>
    </rPh>
    <rPh sb="3" eb="5">
      <t>ウリアゲ</t>
    </rPh>
    <rPh sb="5" eb="6">
      <t>スウ</t>
    </rPh>
    <phoneticPr fontId="1"/>
  </si>
  <si>
    <t>●推定売上数(逆数)</t>
    <rPh sb="1" eb="3">
      <t>スイテイ</t>
    </rPh>
    <rPh sb="3" eb="5">
      <t>ウリアゲ</t>
    </rPh>
    <rPh sb="5" eb="6">
      <t>スウ</t>
    </rPh>
    <rPh sb="7" eb="9">
      <t>ギャクスウ</t>
    </rPh>
    <phoneticPr fontId="1"/>
  </si>
  <si>
    <t>●売上数(逆数)</t>
    <rPh sb="1" eb="3">
      <t>ウリアゲ</t>
    </rPh>
    <rPh sb="3" eb="4">
      <t>スウ</t>
    </rPh>
    <rPh sb="5" eb="7">
      <t>ギャクスウ</t>
    </rPh>
    <phoneticPr fontId="1"/>
  </si>
  <si>
    <t>→直線化のため</t>
    <rPh sb="1" eb="4">
      <t>チョクセンカ</t>
    </rPh>
    <phoneticPr fontId="1"/>
  </si>
  <si>
    <t>●売上額</t>
    <rPh sb="1" eb="3">
      <t>ウリアゲ</t>
    </rPh>
    <rPh sb="3" eb="4">
      <t>ガク</t>
    </rPh>
    <phoneticPr fontId="1"/>
  </si>
  <si>
    <t>●推定売上額</t>
    <rPh sb="1" eb="3">
      <t>スイテイ</t>
    </rPh>
    <rPh sb="3" eb="5">
      <t>ウリアゲ</t>
    </rPh>
    <rPh sb="5" eb="6">
      <t>ガク</t>
    </rPh>
    <phoneticPr fontId="1"/>
  </si>
  <si>
    <t>調整</t>
    <rPh sb="0" eb="2">
      <t>チョウセイ</t>
    </rPh>
    <phoneticPr fontId="1"/>
  </si>
  <si>
    <t xml:space="preserve">   →よって今回の場合は売価の範囲は2000～20000となる</t>
    <rPh sb="7" eb="9">
      <t>コンカイ</t>
    </rPh>
    <rPh sb="10" eb="12">
      <t>バアイ</t>
    </rPh>
    <rPh sb="13" eb="15">
      <t>バイカ</t>
    </rPh>
    <rPh sb="16" eb="18">
      <t>ハンイ</t>
    </rPh>
    <phoneticPr fontId="1"/>
  </si>
  <si>
    <t>↓残差が離れすぎてないかチェックする</t>
    <rPh sb="1" eb="3">
      <t>ザンサ</t>
    </rPh>
    <rPh sb="4" eb="5">
      <t>ハナ</t>
    </rPh>
    <phoneticPr fontId="1"/>
  </si>
  <si>
    <r>
      <t>←</t>
    </r>
    <r>
      <rPr>
        <b/>
        <sz val="11"/>
        <color theme="1"/>
        <rFont val="ＭＳ Ｐゴシック"/>
        <family val="3"/>
        <charset val="128"/>
        <scheme val="minor"/>
      </rPr>
      <t>売上数(逆数)のグラフを参考に、</t>
    </r>
    <r>
      <rPr>
        <sz val="11"/>
        <color theme="1"/>
        <rFont val="ＭＳ Ｐゴシック"/>
        <family val="2"/>
        <charset val="128"/>
        <scheme val="minor"/>
      </rPr>
      <t>線形性のある範囲のみに絞る</t>
    </r>
    <rPh sb="1" eb="3">
      <t>ウリアゲ</t>
    </rPh>
    <rPh sb="3" eb="4">
      <t>スウ</t>
    </rPh>
    <rPh sb="5" eb="7">
      <t>ギャクスウ</t>
    </rPh>
    <rPh sb="13" eb="15">
      <t>サンコウ</t>
    </rPh>
    <rPh sb="17" eb="19">
      <t>センケイ</t>
    </rPh>
    <rPh sb="19" eb="20">
      <t>セイ</t>
    </rPh>
    <rPh sb="23" eb="25">
      <t>ハンイ</t>
    </rPh>
    <rPh sb="28" eb="29">
      <t>シボ</t>
    </rPh>
    <phoneticPr fontId="1"/>
  </si>
  <si>
    <r>
      <t>←</t>
    </r>
    <r>
      <rPr>
        <b/>
        <sz val="11"/>
        <color theme="1"/>
        <rFont val="ＭＳ Ｐゴシック"/>
        <family val="3"/>
        <charset val="128"/>
        <scheme val="minor"/>
      </rPr>
      <t>上限の推定売上数が0となるよう、</t>
    </r>
    <r>
      <rPr>
        <sz val="11"/>
        <color theme="1"/>
        <rFont val="ＭＳ Ｐゴシック"/>
        <family val="2"/>
        <charset val="128"/>
        <scheme val="minor"/>
      </rPr>
      <t>最終的な売上数に加える</t>
    </r>
    <rPh sb="1" eb="3">
      <t>ジョウゲン</t>
    </rPh>
    <rPh sb="4" eb="6">
      <t>スイテイ</t>
    </rPh>
    <rPh sb="6" eb="8">
      <t>ウリアゲ</t>
    </rPh>
    <rPh sb="8" eb="9">
      <t>スウ</t>
    </rPh>
    <rPh sb="17" eb="20">
      <t>サイシュウテキ</t>
    </rPh>
    <rPh sb="21" eb="23">
      <t>ウリアゲ</t>
    </rPh>
    <rPh sb="23" eb="24">
      <t>スウ</t>
    </rPh>
    <rPh sb="25" eb="26">
      <t>クワ</t>
    </rPh>
    <phoneticPr fontId="1"/>
  </si>
  <si>
    <t>回帰式：シート「４．売価と売上数の関係から価格設定する」より</t>
    <rPh sb="0" eb="2">
      <t>カイキ</t>
    </rPh>
    <rPh sb="2" eb="3">
      <t>シキ</t>
    </rPh>
    <rPh sb="10" eb="12">
      <t>バイカ</t>
    </rPh>
    <rPh sb="13" eb="15">
      <t>ウリアゲ</t>
    </rPh>
    <rPh sb="15" eb="16">
      <t>スウ</t>
    </rPh>
    <rPh sb="17" eb="19">
      <t>カンケイ</t>
    </rPh>
    <rPh sb="21" eb="23">
      <t>カカク</t>
    </rPh>
    <rPh sb="23" eb="25">
      <t>セッテイ</t>
    </rPh>
    <phoneticPr fontId="1"/>
  </si>
  <si>
    <t>利益</t>
    <rPh sb="0" eb="2">
      <t>リエキ</t>
    </rPh>
    <phoneticPr fontId="1"/>
  </si>
  <si>
    <t>廃棄数</t>
    <rPh sb="0" eb="2">
      <t>ハイキ</t>
    </rPh>
    <rPh sb="2" eb="3">
      <t>スウ</t>
    </rPh>
    <phoneticPr fontId="1"/>
  </si>
  <si>
    <t>廃棄額</t>
    <rPh sb="0" eb="2">
      <t>ハイキ</t>
    </rPh>
    <rPh sb="2" eb="3">
      <t>ガク</t>
    </rPh>
    <phoneticPr fontId="1"/>
  </si>
  <si>
    <t>0時代</t>
    <rPh sb="1" eb="2">
      <t>ジ</t>
    </rPh>
    <rPh sb="2" eb="3">
      <t>ダイ</t>
    </rPh>
    <phoneticPr fontId="1"/>
  </si>
  <si>
    <t>1時代</t>
    <rPh sb="1" eb="2">
      <t>ジ</t>
    </rPh>
    <rPh sb="2" eb="3">
      <t>ダイ</t>
    </rPh>
    <phoneticPr fontId="1"/>
  </si>
  <si>
    <t>2時代</t>
    <rPh sb="1" eb="2">
      <t>ジ</t>
    </rPh>
    <rPh sb="2" eb="3">
      <t>ダイ</t>
    </rPh>
    <phoneticPr fontId="1"/>
  </si>
  <si>
    <t>3時代</t>
    <rPh sb="1" eb="2">
      <t>ジ</t>
    </rPh>
    <rPh sb="2" eb="3">
      <t>ダイ</t>
    </rPh>
    <phoneticPr fontId="1"/>
  </si>
  <si>
    <t>4時代</t>
    <rPh sb="1" eb="2">
      <t>ジ</t>
    </rPh>
    <rPh sb="2" eb="3">
      <t>ダイ</t>
    </rPh>
    <phoneticPr fontId="1"/>
  </si>
  <si>
    <t>5時代</t>
    <rPh sb="1" eb="2">
      <t>ジ</t>
    </rPh>
    <rPh sb="2" eb="3">
      <t>ダイ</t>
    </rPh>
    <phoneticPr fontId="1"/>
  </si>
  <si>
    <t>6時代</t>
    <rPh sb="1" eb="2">
      <t>ジ</t>
    </rPh>
    <rPh sb="2" eb="3">
      <t>ダイ</t>
    </rPh>
    <phoneticPr fontId="1"/>
  </si>
  <si>
    <t>7時代</t>
    <rPh sb="1" eb="2">
      <t>ジ</t>
    </rPh>
    <rPh sb="2" eb="3">
      <t>ダイ</t>
    </rPh>
    <phoneticPr fontId="1"/>
  </si>
  <si>
    <t>8時代</t>
    <rPh sb="1" eb="2">
      <t>ジ</t>
    </rPh>
    <rPh sb="2" eb="3">
      <t>ダイ</t>
    </rPh>
    <phoneticPr fontId="1"/>
  </si>
  <si>
    <t>9時代</t>
    <rPh sb="1" eb="2">
      <t>ジ</t>
    </rPh>
    <rPh sb="2" eb="3">
      <t>ダイ</t>
    </rPh>
    <phoneticPr fontId="1"/>
  </si>
  <si>
    <t>10時代</t>
    <rPh sb="2" eb="3">
      <t>ジ</t>
    </rPh>
    <rPh sb="3" eb="4">
      <t>ダイ</t>
    </rPh>
    <phoneticPr fontId="1"/>
  </si>
  <si>
    <t>11時代</t>
    <rPh sb="2" eb="3">
      <t>ジ</t>
    </rPh>
    <rPh sb="3" eb="4">
      <t>ダイ</t>
    </rPh>
    <phoneticPr fontId="1"/>
  </si>
  <si>
    <t>12時代</t>
    <rPh sb="2" eb="3">
      <t>ジ</t>
    </rPh>
    <rPh sb="3" eb="4">
      <t>ダイ</t>
    </rPh>
    <phoneticPr fontId="1"/>
  </si>
  <si>
    <t>13時代</t>
    <rPh sb="2" eb="3">
      <t>ジ</t>
    </rPh>
    <rPh sb="3" eb="4">
      <t>ダイ</t>
    </rPh>
    <phoneticPr fontId="1"/>
  </si>
  <si>
    <t>14時代</t>
    <rPh sb="2" eb="3">
      <t>ジ</t>
    </rPh>
    <rPh sb="3" eb="4">
      <t>ダイ</t>
    </rPh>
    <phoneticPr fontId="1"/>
  </si>
  <si>
    <t>15時代</t>
    <rPh sb="2" eb="3">
      <t>ジ</t>
    </rPh>
    <rPh sb="3" eb="4">
      <t>ダイ</t>
    </rPh>
    <phoneticPr fontId="1"/>
  </si>
  <si>
    <t>16時代</t>
    <rPh sb="2" eb="3">
      <t>ジ</t>
    </rPh>
    <rPh sb="3" eb="4">
      <t>ダイ</t>
    </rPh>
    <phoneticPr fontId="1"/>
  </si>
  <si>
    <t>17時代</t>
    <rPh sb="2" eb="3">
      <t>ジ</t>
    </rPh>
    <rPh sb="3" eb="4">
      <t>ダイ</t>
    </rPh>
    <phoneticPr fontId="1"/>
  </si>
  <si>
    <t>18時代</t>
    <rPh sb="2" eb="3">
      <t>ジ</t>
    </rPh>
    <rPh sb="3" eb="4">
      <t>ダイ</t>
    </rPh>
    <phoneticPr fontId="1"/>
  </si>
  <si>
    <t>19時代</t>
    <rPh sb="2" eb="3">
      <t>ジ</t>
    </rPh>
    <rPh sb="3" eb="4">
      <t>ダイ</t>
    </rPh>
    <phoneticPr fontId="1"/>
  </si>
  <si>
    <t>20時代</t>
    <rPh sb="2" eb="3">
      <t>ジ</t>
    </rPh>
    <rPh sb="3" eb="4">
      <t>ダイ</t>
    </rPh>
    <phoneticPr fontId="1"/>
  </si>
  <si>
    <t>21時代</t>
    <rPh sb="2" eb="3">
      <t>ジ</t>
    </rPh>
    <rPh sb="3" eb="4">
      <t>ダイ</t>
    </rPh>
    <phoneticPr fontId="1"/>
  </si>
  <si>
    <t>22時代</t>
    <rPh sb="2" eb="3">
      <t>ジ</t>
    </rPh>
    <rPh sb="3" eb="4">
      <t>ダイ</t>
    </rPh>
    <phoneticPr fontId="1"/>
  </si>
  <si>
    <t>23時代</t>
    <rPh sb="2" eb="3">
      <t>ジ</t>
    </rPh>
    <rPh sb="3" eb="4">
      <t>ダイ</t>
    </rPh>
    <phoneticPr fontId="1"/>
  </si>
  <si>
    <t>地域(店舗)</t>
    <rPh sb="0" eb="2">
      <t>チイキ</t>
    </rPh>
    <rPh sb="3" eb="5">
      <t>テンポ</t>
    </rPh>
    <phoneticPr fontId="1"/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</si>
  <si>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</si>
  <si>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</si>
  <si>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確率</t>
    <rPh sb="0" eb="2">
      <t>カクリツ</t>
    </rPh>
    <phoneticPr fontId="1"/>
  </si>
  <si>
    <t>欠品率</t>
    <rPh sb="0" eb="2">
      <t>ケッピン</t>
    </rPh>
    <rPh sb="2" eb="3">
      <t>リツ</t>
    </rPh>
    <phoneticPr fontId="1"/>
  </si>
  <si>
    <t>安全在庫数</t>
    <rPh sb="0" eb="2">
      <t>アンゼン</t>
    </rPh>
    <rPh sb="2" eb="4">
      <t>ザイコ</t>
    </rPh>
    <rPh sb="4" eb="5">
      <t>スウ</t>
    </rPh>
    <phoneticPr fontId="1"/>
  </si>
  <si>
    <t>廃棄数</t>
    <rPh sb="0" eb="2">
      <t>ハイキ</t>
    </rPh>
    <rPh sb="2" eb="3">
      <t>スウ</t>
    </rPh>
    <phoneticPr fontId="1"/>
  </si>
  <si>
    <t>期待値</t>
    <rPh sb="0" eb="2">
      <t>キタイ</t>
    </rPh>
    <rPh sb="2" eb="3">
      <t>アタイ</t>
    </rPh>
    <phoneticPr fontId="1"/>
  </si>
  <si>
    <t>(許容)</t>
    <rPh sb="1" eb="3">
      <t>キョヨウ</t>
    </rPh>
    <phoneticPr fontId="1"/>
  </si>
  <si>
    <t>廃棄率</t>
    <rPh sb="0" eb="2">
      <t>ハイキ</t>
    </rPh>
    <rPh sb="2" eb="3">
      <t>リツ</t>
    </rPh>
    <phoneticPr fontId="1"/>
  </si>
  <si>
    <t>補填予定</t>
    <rPh sb="0" eb="2">
      <t>ホテン</t>
    </rPh>
    <rPh sb="2" eb="4">
      <t>ヨテイ</t>
    </rPh>
    <phoneticPr fontId="1"/>
  </si>
  <si>
    <t>保管期限</t>
    <rPh sb="0" eb="2">
      <t>ホカン</t>
    </rPh>
    <rPh sb="2" eb="4">
      <t>キゲン</t>
    </rPh>
    <phoneticPr fontId="1"/>
  </si>
  <si>
    <t>期間</t>
    <rPh sb="0" eb="2">
      <t>キカン</t>
    </rPh>
    <phoneticPr fontId="1"/>
  </si>
  <si>
    <t>差分</t>
    <rPh sb="0" eb="2">
      <t>サブン</t>
    </rPh>
    <phoneticPr fontId="1"/>
  </si>
  <si>
    <t>(探査用)</t>
    <rPh sb="1" eb="3">
      <t>タンサ</t>
    </rPh>
    <rPh sb="3" eb="4">
      <t>ヨウ</t>
    </rPh>
    <phoneticPr fontId="1"/>
  </si>
  <si>
    <t>日あたり</t>
    <rPh sb="0" eb="1">
      <t>ヒ</t>
    </rPh>
    <phoneticPr fontId="1"/>
  </si>
  <si>
    <t>番号</t>
    <rPh sb="0" eb="2">
      <t>バンゴウ</t>
    </rPh>
    <phoneticPr fontId="1"/>
  </si>
  <si>
    <t>1/sqrt(2πσ^2)</t>
    <phoneticPr fontId="1"/>
  </si>
  <si>
    <t>(左側)</t>
    <rPh sb="1" eb="3">
      <t>ヒダリガワ</t>
    </rPh>
    <phoneticPr fontId="1"/>
  </si>
  <si>
    <t>(右側)</t>
    <rPh sb="1" eb="3">
      <t>ミギガワ</t>
    </rPh>
    <phoneticPr fontId="1"/>
  </si>
  <si>
    <t>●正規分布</t>
    <rPh sb="1" eb="3">
      <t>セイキ</t>
    </rPh>
    <rPh sb="3" eb="5">
      <t>ブンプ</t>
    </rPh>
    <phoneticPr fontId="1"/>
  </si>
  <si>
    <t>確率変数</t>
    <rPh sb="0" eb="2">
      <t>カクリツ</t>
    </rPh>
    <rPh sb="2" eb="4">
      <t>ヘンスウ</t>
    </rPh>
    <phoneticPr fontId="1"/>
  </si>
  <si>
    <t>■３．適正在庫数を求める</t>
    <rPh sb="3" eb="5">
      <t>テキセイ</t>
    </rPh>
    <rPh sb="5" eb="8">
      <t>ザイコスウ</t>
    </rPh>
    <rPh sb="9" eb="10">
      <t>モト</t>
    </rPh>
    <phoneticPr fontId="1"/>
  </si>
  <si>
    <t>※直近30日を対象に回帰分析し、この結果を踏まえ今後30日を予想し、適正在庫数を求める</t>
    <rPh sb="1" eb="3">
      <t>チョッキン</t>
    </rPh>
    <rPh sb="5" eb="6">
      <t>ニチ</t>
    </rPh>
    <rPh sb="7" eb="9">
      <t>タイショウ</t>
    </rPh>
    <rPh sb="10" eb="12">
      <t>カイキ</t>
    </rPh>
    <rPh sb="12" eb="14">
      <t>ブンセキ</t>
    </rPh>
    <rPh sb="18" eb="20">
      <t>ケッカ</t>
    </rPh>
    <rPh sb="21" eb="22">
      <t>フ</t>
    </rPh>
    <rPh sb="24" eb="26">
      <t>コンゴ</t>
    </rPh>
    <rPh sb="28" eb="29">
      <t>ニチ</t>
    </rPh>
    <rPh sb="30" eb="32">
      <t>ヨソウ</t>
    </rPh>
    <rPh sb="34" eb="36">
      <t>テキセイ</t>
    </rPh>
    <rPh sb="36" eb="39">
      <t>ザイコスウ</t>
    </rPh>
    <rPh sb="40" eb="41">
      <t>モト</t>
    </rPh>
    <phoneticPr fontId="1"/>
  </si>
  <si>
    <t>※リードタイム</t>
    <phoneticPr fontId="1"/>
  </si>
  <si>
    <t>●欠品率と廃棄率</t>
    <rPh sb="1" eb="3">
      <t>ケッピン</t>
    </rPh>
    <rPh sb="3" eb="4">
      <t>リツ</t>
    </rPh>
    <rPh sb="5" eb="7">
      <t>ハイキ</t>
    </rPh>
    <rPh sb="7" eb="8">
      <t>リツ</t>
    </rPh>
    <phoneticPr fontId="1"/>
  </si>
  <si>
    <t>※平均＝1日あたり平均×期間</t>
    <rPh sb="1" eb="3">
      <t>ヘイキン</t>
    </rPh>
    <rPh sb="5" eb="6">
      <t>ニチ</t>
    </rPh>
    <rPh sb="9" eb="11">
      <t>ヘイキン</t>
    </rPh>
    <rPh sb="12" eb="14">
      <t>キカン</t>
    </rPh>
    <phoneticPr fontId="1"/>
  </si>
  <si>
    <t>※標準偏差＝1日あたり標準偏差×sqrt(期間)</t>
    <rPh sb="1" eb="3">
      <t>ヒョウジュン</t>
    </rPh>
    <rPh sb="3" eb="5">
      <t>ヘンサ</t>
    </rPh>
    <rPh sb="7" eb="8">
      <t>ニチ</t>
    </rPh>
    <rPh sb="11" eb="13">
      <t>ヒョウジュン</t>
    </rPh>
    <rPh sb="13" eb="15">
      <t>ヘンサ</t>
    </rPh>
    <rPh sb="21" eb="23">
      <t>キカン</t>
    </rPh>
    <phoneticPr fontId="1"/>
  </si>
  <si>
    <t>→分散＝1日あたり分散×期間となるため</t>
    <rPh sb="1" eb="3">
      <t>ブンサン</t>
    </rPh>
    <rPh sb="5" eb="6">
      <t>ニチ</t>
    </rPh>
    <rPh sb="9" eb="11">
      <t>ブンサン</t>
    </rPh>
    <rPh sb="12" eb="14">
      <t>キカン</t>
    </rPh>
    <phoneticPr fontId="1"/>
  </si>
  <si>
    <t>←ここまでが保管期限</t>
    <rPh sb="6" eb="8">
      <t>ホカン</t>
    </rPh>
    <rPh sb="8" eb="10">
      <t>キゲン</t>
    </rPh>
    <phoneticPr fontId="1"/>
  </si>
  <si>
    <t>←ここで補填予定</t>
    <rPh sb="4" eb="6">
      <t>ホテン</t>
    </rPh>
    <rPh sb="6" eb="8">
      <t>ヨテイ</t>
    </rPh>
    <phoneticPr fontId="1"/>
  </si>
  <si>
    <t>※分かりやすさのため</t>
    <rPh sb="1" eb="2">
      <t>ワ</t>
    </rPh>
    <phoneticPr fontId="1"/>
  </si>
  <si>
    <t>exp(-((x-u)^2)/(2σ^2))</t>
    <phoneticPr fontId="1"/>
  </si>
  <si>
    <t>中心→</t>
    <rPh sb="0" eb="2">
      <t>チュウシン</t>
    </rPh>
    <phoneticPr fontId="1"/>
  </si>
  <si>
    <t>→補填予定までの売上数の予想</t>
    <rPh sb="1" eb="3">
      <t>ホテン</t>
    </rPh>
    <rPh sb="3" eb="5">
      <t>ヨテイ</t>
    </rPh>
    <rPh sb="8" eb="10">
      <t>ウリアゲ</t>
    </rPh>
    <rPh sb="10" eb="11">
      <t>スウ</t>
    </rPh>
    <rPh sb="12" eb="14">
      <t>ヨソウ</t>
    </rPh>
    <phoneticPr fontId="1"/>
  </si>
  <si>
    <t>※一般的には安全係数から安全在庫数を求めるが、ここでは直接求める</t>
    <rPh sb="1" eb="4">
      <t>イッパンテキ</t>
    </rPh>
    <rPh sb="6" eb="8">
      <t>アンゼン</t>
    </rPh>
    <rPh sb="8" eb="10">
      <t>ケイスウ</t>
    </rPh>
    <rPh sb="12" eb="14">
      <t>アンゼン</t>
    </rPh>
    <rPh sb="14" eb="16">
      <t>ザイコ</t>
    </rPh>
    <rPh sb="16" eb="17">
      <t>スウ</t>
    </rPh>
    <rPh sb="18" eb="19">
      <t>モト</t>
    </rPh>
    <rPh sb="27" eb="29">
      <t>チョクセツ</t>
    </rPh>
    <rPh sb="29" eb="30">
      <t>モト</t>
    </rPh>
    <phoneticPr fontId="1"/>
  </si>
  <si>
    <t>●欠品率(右側の確率)</t>
    <rPh sb="1" eb="3">
      <t>ケッピン</t>
    </rPh>
    <rPh sb="3" eb="4">
      <t>リツ</t>
    </rPh>
    <rPh sb="5" eb="7">
      <t>ミギガワ</t>
    </rPh>
    <rPh sb="8" eb="10">
      <t>カクリツ</t>
    </rPh>
    <phoneticPr fontId="1"/>
  </si>
  <si>
    <t>●廃棄率(左側の確率)</t>
    <rPh sb="1" eb="3">
      <t>ハイキ</t>
    </rPh>
    <rPh sb="3" eb="4">
      <t>リツ</t>
    </rPh>
    <rPh sb="5" eb="7">
      <t>ヒダリガワ</t>
    </rPh>
    <rPh sb="8" eb="10">
      <t>カクリツ</t>
    </rPh>
    <phoneticPr fontId="1"/>
  </si>
  <si>
    <t>→欠品率を下げると廃棄率が上がる</t>
    <rPh sb="1" eb="3">
      <t>ケッピン</t>
    </rPh>
    <rPh sb="3" eb="4">
      <t>リツ</t>
    </rPh>
    <rPh sb="5" eb="6">
      <t>サ</t>
    </rPh>
    <rPh sb="9" eb="11">
      <t>ハイキ</t>
    </rPh>
    <rPh sb="11" eb="12">
      <t>リツ</t>
    </rPh>
    <rPh sb="13" eb="14">
      <t>ア</t>
    </rPh>
    <phoneticPr fontId="1"/>
  </si>
  <si>
    <t>※イメージとして利用するのみ</t>
    <rPh sb="8" eb="10">
      <t>リヨウ</t>
    </rPh>
    <phoneticPr fontId="1"/>
  </si>
  <si>
    <t>→廃棄率を上げないようにしつつ欠品率を抑える</t>
    <rPh sb="1" eb="3">
      <t>ハイキ</t>
    </rPh>
    <rPh sb="3" eb="4">
      <t>リツ</t>
    </rPh>
    <rPh sb="5" eb="6">
      <t>ア</t>
    </rPh>
    <rPh sb="15" eb="17">
      <t>ケッピン</t>
    </rPh>
    <rPh sb="17" eb="18">
      <t>リツ</t>
    </rPh>
    <rPh sb="19" eb="20">
      <t>オサ</t>
    </rPh>
    <phoneticPr fontId="1"/>
  </si>
  <si>
    <t>(切上)</t>
    <rPh sb="1" eb="2">
      <t>キ</t>
    </rPh>
    <rPh sb="2" eb="3">
      <t>ア</t>
    </rPh>
    <phoneticPr fontId="1"/>
  </si>
  <si>
    <t>欠品数</t>
    <rPh sb="0" eb="2">
      <t>ケッピン</t>
    </rPh>
    <rPh sb="2" eb="3">
      <t>スウ</t>
    </rPh>
    <phoneticPr fontId="1"/>
  </si>
  <si>
    <t>※欠品はチャンスロスだが、</t>
    <rPh sb="1" eb="3">
      <t>ケッピン</t>
    </rPh>
    <phoneticPr fontId="1"/>
  </si>
  <si>
    <t xml:space="preserve">   廃棄はコストが発生するため、</t>
    <rPh sb="3" eb="5">
      <t>ハイキ</t>
    </rPh>
    <rPh sb="10" eb="12">
      <t>ハッセイ</t>
    </rPh>
    <phoneticPr fontId="1"/>
  </si>
  <si>
    <t xml:space="preserve">   欠品より廃棄を重視する</t>
    <rPh sb="3" eb="5">
      <t>ケッピン</t>
    </rPh>
    <rPh sb="7" eb="9">
      <t>ハイキ</t>
    </rPh>
    <rPh sb="10" eb="12">
      <t>ジュウシ</t>
    </rPh>
    <phoneticPr fontId="1"/>
  </si>
  <si>
    <t>→必要に応じて差をつける</t>
    <rPh sb="1" eb="3">
      <t>ヒツヨウ</t>
    </rPh>
    <rPh sb="4" eb="5">
      <t>オウ</t>
    </rPh>
    <rPh sb="7" eb="8">
      <t>サ</t>
    </rPh>
    <phoneticPr fontId="1"/>
  </si>
  <si>
    <t>欠品数と廃棄数の和</t>
    <rPh sb="0" eb="2">
      <t>ケッピン</t>
    </rPh>
    <rPh sb="2" eb="3">
      <t>スウ</t>
    </rPh>
    <rPh sb="4" eb="6">
      <t>ハイキ</t>
    </rPh>
    <rPh sb="6" eb="7">
      <t>スウ</t>
    </rPh>
    <rPh sb="8" eb="9">
      <t>ワ</t>
    </rPh>
    <phoneticPr fontId="1"/>
  </si>
  <si>
    <t>最大</t>
    <rPh sb="0" eb="2">
      <t>サイダイ</t>
    </rPh>
    <phoneticPr fontId="1"/>
  </si>
  <si>
    <t>(探索用)</t>
    <rPh sb="1" eb="4">
      <t>タンサクヨウ</t>
    </rPh>
    <phoneticPr fontId="1"/>
  </si>
  <si>
    <t>最小</t>
    <rPh sb="0" eb="2">
      <t>サイショウ</t>
    </rPh>
    <phoneticPr fontId="1"/>
  </si>
  <si>
    <t>←期待値が最小となる</t>
    <rPh sb="1" eb="3">
      <t>キタイ</t>
    </rPh>
    <rPh sb="3" eb="4">
      <t>アタイ</t>
    </rPh>
    <rPh sb="5" eb="7">
      <t>サイショウ</t>
    </rPh>
    <phoneticPr fontId="1"/>
  </si>
  <si>
    <t>←推定売上額が最大となる</t>
    <rPh sb="1" eb="3">
      <t>スイテイ</t>
    </rPh>
    <rPh sb="3" eb="5">
      <t>ウリアゲ</t>
    </rPh>
    <rPh sb="5" eb="6">
      <t>ガク</t>
    </rPh>
    <rPh sb="7" eb="9">
      <t>サイダイ</t>
    </rPh>
    <phoneticPr fontId="1"/>
  </si>
  <si>
    <t>1週目</t>
    <rPh sb="1" eb="2">
      <t>シュウ</t>
    </rPh>
    <rPh sb="2" eb="3">
      <t>メ</t>
    </rPh>
    <phoneticPr fontId="1"/>
  </si>
  <si>
    <t>2週目</t>
    <rPh sb="1" eb="2">
      <t>シュウ</t>
    </rPh>
    <rPh sb="2" eb="3">
      <t>メ</t>
    </rPh>
    <phoneticPr fontId="1"/>
  </si>
  <si>
    <t>3週目</t>
    <rPh sb="1" eb="2">
      <t>シュウ</t>
    </rPh>
    <rPh sb="2" eb="3">
      <t>メ</t>
    </rPh>
    <phoneticPr fontId="1"/>
  </si>
  <si>
    <t>4週目</t>
    <rPh sb="1" eb="2">
      <t>シュウ</t>
    </rPh>
    <rPh sb="2" eb="3">
      <t>メ</t>
    </rPh>
    <phoneticPr fontId="1"/>
  </si>
  <si>
    <t>5週目</t>
    <rPh sb="1" eb="2">
      <t>シュウ</t>
    </rPh>
    <rPh sb="2" eb="3">
      <t>メ</t>
    </rPh>
    <phoneticPr fontId="1"/>
  </si>
  <si>
    <t>6週目</t>
    <rPh sb="1" eb="2">
      <t>シュウ</t>
    </rPh>
    <rPh sb="2" eb="3">
      <t>メ</t>
    </rPh>
    <phoneticPr fontId="1"/>
  </si>
  <si>
    <t>7週目</t>
    <rPh sb="1" eb="2">
      <t>シュウ</t>
    </rPh>
    <rPh sb="2" eb="3">
      <t>メ</t>
    </rPh>
    <phoneticPr fontId="1"/>
  </si>
  <si>
    <t>8週目</t>
    <rPh sb="1" eb="2">
      <t>シュウ</t>
    </rPh>
    <rPh sb="2" eb="3">
      <t>メ</t>
    </rPh>
    <phoneticPr fontId="1"/>
  </si>
  <si>
    <t>9週目</t>
    <rPh sb="1" eb="2">
      <t>シュウ</t>
    </rPh>
    <rPh sb="2" eb="3">
      <t>メ</t>
    </rPh>
    <phoneticPr fontId="1"/>
  </si>
  <si>
    <t>10週目</t>
    <rPh sb="2" eb="3">
      <t>シュウ</t>
    </rPh>
    <rPh sb="3" eb="4">
      <t>メ</t>
    </rPh>
    <phoneticPr fontId="1"/>
  </si>
  <si>
    <t>11週目</t>
    <rPh sb="2" eb="3">
      <t>シュウ</t>
    </rPh>
    <rPh sb="3" eb="4">
      <t>メ</t>
    </rPh>
    <phoneticPr fontId="1"/>
  </si>
  <si>
    <t>12週目</t>
    <rPh sb="2" eb="3">
      <t>シュウ</t>
    </rPh>
    <rPh sb="3" eb="4">
      <t>メ</t>
    </rPh>
    <phoneticPr fontId="1"/>
  </si>
  <si>
    <t>→1週間に25点を販売する計画で3ヵ月で回収したい</t>
    <rPh sb="2" eb="4">
      <t>シュウカン</t>
    </rPh>
    <rPh sb="7" eb="8">
      <t>テン</t>
    </rPh>
    <rPh sb="9" eb="11">
      <t>ハンバイ</t>
    </rPh>
    <rPh sb="13" eb="15">
      <t>ケイカク</t>
    </rPh>
    <rPh sb="18" eb="19">
      <t>ゲツ</t>
    </rPh>
    <rPh sb="20" eb="22">
      <t>カイシュウ</t>
    </rPh>
    <phoneticPr fontId="1"/>
  </si>
  <si>
    <t>■５．努力の方針を定める</t>
    <rPh sb="3" eb="5">
      <t>ドリョク</t>
    </rPh>
    <rPh sb="6" eb="8">
      <t>ホウシン</t>
    </rPh>
    <rPh sb="9" eb="10">
      <t>サダ</t>
    </rPh>
    <phoneticPr fontId="1"/>
  </si>
  <si>
    <t>仕入額</t>
    <rPh sb="0" eb="2">
      <t>シイ</t>
    </rPh>
    <rPh sb="2" eb="3">
      <t>ガク</t>
    </rPh>
    <phoneticPr fontId="1"/>
  </si>
  <si>
    <t>↓変化</t>
    <rPh sb="1" eb="3">
      <t>ヘンカ</t>
    </rPh>
    <phoneticPr fontId="1"/>
  </si>
  <si>
    <t>推定値→</t>
    <rPh sb="0" eb="2">
      <t>スイテイ</t>
    </rPh>
    <rPh sb="2" eb="3">
      <t>アタイ</t>
    </rPh>
    <phoneticPr fontId="1"/>
  </si>
  <si>
    <t>回帰式より</t>
    <rPh sb="0" eb="2">
      <t>カイキ</t>
    </rPh>
    <rPh sb="2" eb="3">
      <t>シキ</t>
    </rPh>
    <phoneticPr fontId="1"/>
  </si>
  <si>
    <t>価格式より</t>
    <rPh sb="0" eb="2">
      <t>カカク</t>
    </rPh>
    <rPh sb="2" eb="3">
      <t>シキ</t>
    </rPh>
    <phoneticPr fontId="1"/>
  </si>
  <si>
    <t>●原価率に伴う変化(原価率を許容する努力)</t>
    <rPh sb="1" eb="3">
      <t>ゲンカ</t>
    </rPh>
    <rPh sb="3" eb="4">
      <t>リツ</t>
    </rPh>
    <rPh sb="5" eb="6">
      <t>トモナ</t>
    </rPh>
    <rPh sb="7" eb="9">
      <t>ヘンカ</t>
    </rPh>
    <rPh sb="10" eb="12">
      <t>ゲンカ</t>
    </rPh>
    <rPh sb="12" eb="13">
      <t>リツ</t>
    </rPh>
    <rPh sb="14" eb="16">
      <t>キョヨウ</t>
    </rPh>
    <rPh sb="18" eb="20">
      <t>ドリョク</t>
    </rPh>
    <phoneticPr fontId="1"/>
  </si>
  <si>
    <t>●廃棄率に伴う変化(廃棄率を抑える努力)</t>
    <rPh sb="1" eb="3">
      <t>ハイキ</t>
    </rPh>
    <rPh sb="3" eb="4">
      <t>リツ</t>
    </rPh>
    <rPh sb="5" eb="6">
      <t>トモナ</t>
    </rPh>
    <rPh sb="7" eb="9">
      <t>ヘンカ</t>
    </rPh>
    <rPh sb="10" eb="12">
      <t>ハイキ</t>
    </rPh>
    <rPh sb="12" eb="13">
      <t>リツ</t>
    </rPh>
    <rPh sb="14" eb="15">
      <t>オサ</t>
    </rPh>
    <rPh sb="17" eb="19">
      <t>ドリョク</t>
    </rPh>
    <phoneticPr fontId="1"/>
  </si>
  <si>
    <t>※当資料で掲載しているデータは適当に作成したものであり、実際のものではありません。</t>
    <phoneticPr fontId="1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</si>
</sst>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0_ "/>
    <numFmt numFmtId="178" formatCode="0.0000_ "/>
    <numFmt numFmtId="179" formatCode="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0" fillId="2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1" applyNumberFormat="1" applyFont="1" applyBorder="1">
      <alignment vertical="center"/>
    </xf>
    <xf numFmtId="38" fontId="0" fillId="4" borderId="0" xfId="1" applyFont="1" applyFill="1">
      <alignment vertical="center"/>
    </xf>
    <xf numFmtId="38" fontId="0" fillId="4" borderId="0" xfId="1" applyFont="1" applyFill="1" applyBorder="1">
      <alignment vertical="center"/>
    </xf>
    <xf numFmtId="0" fontId="0" fillId="6" borderId="0" xfId="0" applyFill="1">
      <alignment vertical="center"/>
    </xf>
    <xf numFmtId="0" fontId="0" fillId="3" borderId="1" xfId="0" applyNumberFormat="1" applyFill="1" applyBorder="1">
      <alignment vertical="center"/>
    </xf>
    <xf numFmtId="0" fontId="0" fillId="0" borderId="1" xfId="1" applyNumberFormat="1" applyFont="1" applyBorder="1">
      <alignment vertical="center"/>
    </xf>
    <xf numFmtId="0" fontId="0" fillId="4" borderId="0" xfId="1" applyNumberFormat="1" applyFont="1" applyFill="1" applyBorder="1">
      <alignment vertical="center"/>
    </xf>
    <xf numFmtId="0" fontId="0" fillId="0" borderId="0" xfId="1" applyNumberFormat="1" applyFon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7" borderId="0" xfId="0" applyFill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3" borderId="3" xfId="0" applyNumberFormat="1" applyFill="1" applyBorder="1">
      <alignment vertical="center"/>
    </xf>
    <xf numFmtId="0" fontId="0" fillId="3" borderId="2" xfId="0" applyNumberFormat="1" applyFill="1" applyBorder="1">
      <alignment vertical="center"/>
    </xf>
    <xf numFmtId="0" fontId="0" fillId="4" borderId="1" xfId="0" applyNumberFormat="1" applyFill="1" applyBorder="1">
      <alignment vertical="center"/>
    </xf>
    <xf numFmtId="0" fontId="0" fillId="4" borderId="0" xfId="0" applyNumberFormat="1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Continuous" vertical="center"/>
    </xf>
    <xf numFmtId="0" fontId="0" fillId="3" borderId="0" xfId="0" applyNumberFormat="1" applyFill="1" applyBorder="1">
      <alignment vertical="center"/>
    </xf>
    <xf numFmtId="0" fontId="0" fillId="7" borderId="0" xfId="0" applyNumberFormat="1" applyFill="1">
      <alignment vertical="center"/>
    </xf>
    <xf numFmtId="0" fontId="0" fillId="7" borderId="0" xfId="0" applyNumberFormat="1" applyFill="1" applyBorder="1">
      <alignment vertical="center"/>
    </xf>
    <xf numFmtId="0" fontId="0" fillId="7" borderId="1" xfId="0" applyNumberFormat="1" applyFill="1" applyBorder="1">
      <alignment vertical="center"/>
    </xf>
    <xf numFmtId="0" fontId="0" fillId="7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7" borderId="1" xfId="0" applyFill="1" applyBorder="1">
      <alignment vertical="center"/>
    </xf>
    <xf numFmtId="38" fontId="0" fillId="5" borderId="0" xfId="1" applyFont="1" applyFill="1" applyBorder="1">
      <alignment vertical="center"/>
    </xf>
    <xf numFmtId="0" fontId="4" fillId="0" borderId="0" xfId="0" applyNumberFormat="1" applyFont="1" applyBorder="1">
      <alignment vertical="center"/>
    </xf>
    <xf numFmtId="0" fontId="4" fillId="0" borderId="0" xfId="0" applyFont="1">
      <alignment vertical="center"/>
    </xf>
    <xf numFmtId="38" fontId="0" fillId="4" borderId="0" xfId="0" applyNumberFormat="1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38" fontId="0" fillId="4" borderId="1" xfId="1" applyFont="1" applyFill="1" applyBorder="1">
      <alignment vertical="center"/>
    </xf>
    <xf numFmtId="38" fontId="0" fillId="5" borderId="1" xfId="1" applyFont="1" applyFill="1" applyBorder="1">
      <alignment vertical="center"/>
    </xf>
    <xf numFmtId="0" fontId="0" fillId="0" borderId="1" xfId="1" applyNumberFormat="1" applyFont="1" applyFill="1" applyBorder="1">
      <alignment vertical="center"/>
    </xf>
    <xf numFmtId="38" fontId="0" fillId="0" borderId="1" xfId="1" applyFont="1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7" borderId="2" xfId="0" applyFill="1" applyBorder="1">
      <alignment vertical="center"/>
    </xf>
    <xf numFmtId="0" fontId="0" fillId="7" borderId="6" xfId="0" applyFill="1" applyBorder="1">
      <alignment vertical="center"/>
    </xf>
    <xf numFmtId="0" fontId="0" fillId="7" borderId="7" xfId="0" applyFill="1" applyBorder="1">
      <alignment vertical="center"/>
    </xf>
    <xf numFmtId="0" fontId="0" fillId="7" borderId="3" xfId="0" applyFill="1" applyBorder="1">
      <alignment vertical="center"/>
    </xf>
    <xf numFmtId="178" fontId="0" fillId="0" borderId="1" xfId="0" applyNumberFormat="1" applyBorder="1">
      <alignment vertical="center"/>
    </xf>
    <xf numFmtId="0" fontId="5" fillId="7" borderId="1" xfId="0" applyFont="1" applyFill="1" applyBorder="1">
      <alignment vertical="center"/>
    </xf>
    <xf numFmtId="0" fontId="6" fillId="7" borderId="1" xfId="0" applyFont="1" applyFill="1" applyBorder="1">
      <alignment vertical="center"/>
    </xf>
    <xf numFmtId="179" fontId="0" fillId="0" borderId="1" xfId="0" applyNumberFormat="1" applyBorder="1">
      <alignment vertical="center"/>
    </xf>
    <xf numFmtId="0" fontId="5" fillId="3" borderId="1" xfId="0" applyNumberFormat="1" applyFont="1" applyFill="1" applyBorder="1">
      <alignment vertical="center"/>
    </xf>
    <xf numFmtId="0" fontId="6" fillId="3" borderId="1" xfId="0" applyNumberFormat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176" fontId="0" fillId="5" borderId="1" xfId="1" applyNumberFormat="1" applyFon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0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'１．売れる時期を把握する'!$R$8</c:f>
              <c:strCache>
                <c:ptCount val="1"/>
                <c:pt idx="0">
                  <c:v>春物</c:v>
                </c:pt>
              </c:strCache>
            </c:strRef>
          </c:tx>
          <c:marker>
            <c:symbol val="none"/>
          </c:marker>
          <c:cat>
            <c:strRef>
              <c:f>'１．売れる時期を把握する'!$Q$9:$Q$20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'１．売れる時期を把握する'!$R$9:$R$20</c:f>
              <c:numCache>
                <c:formatCode>#,##0;[Red]\-#,##0</c:formatCode>
                <c:ptCount val="12"/>
                <c:pt idx="0">
                  <c:v>399</c:v>
                </c:pt>
                <c:pt idx="1">
                  <c:v>633</c:v>
                </c:pt>
                <c:pt idx="2">
                  <c:v>771</c:v>
                </c:pt>
                <c:pt idx="3">
                  <c:v>537</c:v>
                </c:pt>
                <c:pt idx="4">
                  <c:v>498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'１．売れる時期を把握する'!$S$8</c:f>
              <c:strCache>
                <c:ptCount val="1"/>
                <c:pt idx="0">
                  <c:v>夏物</c:v>
                </c:pt>
              </c:strCache>
            </c:strRef>
          </c:tx>
          <c:marker>
            <c:symbol val="none"/>
          </c:marker>
          <c:cat>
            <c:strRef>
              <c:f>'１．売れる時期を把握する'!$Q$9:$Q$20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'１．売れる時期を把握する'!$S$9:$S$20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357</c:v>
                </c:pt>
                <c:pt idx="4">
                  <c:v>564</c:v>
                </c:pt>
                <c:pt idx="5">
                  <c:v>780</c:v>
                </c:pt>
                <c:pt idx="6">
                  <c:v>618</c:v>
                </c:pt>
                <c:pt idx="7">
                  <c:v>458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'１．売れる時期を把握する'!$T$8</c:f>
              <c:strCache>
                <c:ptCount val="1"/>
                <c:pt idx="0">
                  <c:v>秋物</c:v>
                </c:pt>
              </c:strCache>
            </c:strRef>
          </c:tx>
          <c:marker>
            <c:symbol val="none"/>
          </c:marker>
          <c:cat>
            <c:strRef>
              <c:f>'１．売れる時期を把握する'!$Q$9:$Q$20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'１．売れる時期を把握する'!$T$9:$T$20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</c:v>
                </c:pt>
                <c:pt idx="7">
                  <c:v>563</c:v>
                </c:pt>
                <c:pt idx="8">
                  <c:v>764</c:v>
                </c:pt>
                <c:pt idx="9">
                  <c:v>596</c:v>
                </c:pt>
                <c:pt idx="10">
                  <c:v>341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'１．売れる時期を把握する'!$U$8</c:f>
              <c:strCache>
                <c:ptCount val="1"/>
                <c:pt idx="0">
                  <c:v>冬物</c:v>
                </c:pt>
              </c:strCache>
            </c:strRef>
          </c:tx>
          <c:marker>
            <c:symbol val="none"/>
          </c:marker>
          <c:cat>
            <c:strRef>
              <c:f>'１．売れる時期を把握する'!$Q$9:$Q$20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'１．売れる時期を把握する'!$U$9:$U$20</c:f>
              <c:numCache>
                <c:formatCode>#,##0;[Red]\-#,##0</c:formatCode>
                <c:ptCount val="12"/>
                <c:pt idx="0">
                  <c:v>603</c:v>
                </c:pt>
                <c:pt idx="1">
                  <c:v>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350</c:v>
                </c:pt>
                <c:pt idx="10">
                  <c:v>642</c:v>
                </c:pt>
                <c:pt idx="11">
                  <c:v>670</c:v>
                </c:pt>
              </c:numCache>
            </c:numRef>
          </c:val>
        </c:ser>
        <c:marker val="1"/>
        <c:axId val="189463936"/>
        <c:axId val="189281408"/>
      </c:lineChart>
      <c:catAx>
        <c:axId val="189463936"/>
        <c:scaling>
          <c:orientation val="minMax"/>
        </c:scaling>
        <c:axPos val="b"/>
        <c:majorGridlines/>
        <c:majorTickMark val="none"/>
        <c:tickLblPos val="nextTo"/>
        <c:crossAx val="189281408"/>
        <c:crosses val="autoZero"/>
        <c:auto val="1"/>
        <c:lblAlgn val="ctr"/>
        <c:lblOffset val="100"/>
      </c:catAx>
      <c:valAx>
        <c:axId val="189281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</c:title>
        <c:numFmt formatCode="#,##0;[Red]\-#,##0" sourceLinked="1"/>
        <c:tickLblPos val="nextTo"/>
        <c:crossAx val="1894639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'１．売れる時期を把握する'!$C$8</c:f>
              <c:strCache>
                <c:ptCount val="1"/>
                <c:pt idx="0">
                  <c:v>春物</c:v>
                </c:pt>
              </c:strCache>
            </c:strRef>
          </c:tx>
          <c:marker>
            <c:symbol val="none"/>
          </c:marker>
          <c:cat>
            <c:strRef>
              <c:f>'１．売れる時期を把握する'!$B$9:$B$20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'１．売れる時期を把握する'!$C$9:$C$20</c:f>
              <c:numCache>
                <c:formatCode>#,##0;[Red]\-#,##0</c:formatCode>
                <c:ptCount val="12"/>
                <c:pt idx="0">
                  <c:v>1356387</c:v>
                </c:pt>
                <c:pt idx="1">
                  <c:v>1556871</c:v>
                </c:pt>
                <c:pt idx="2">
                  <c:v>2046118</c:v>
                </c:pt>
                <c:pt idx="3">
                  <c:v>1640202</c:v>
                </c:pt>
                <c:pt idx="4">
                  <c:v>1321009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'１．売れる時期を把握する'!$D$8</c:f>
              <c:strCache>
                <c:ptCount val="1"/>
                <c:pt idx="0">
                  <c:v>夏物</c:v>
                </c:pt>
              </c:strCache>
            </c:strRef>
          </c:tx>
          <c:marker>
            <c:symbol val="none"/>
          </c:marker>
          <c:cat>
            <c:strRef>
              <c:f>'１．売れる時期を把握する'!$B$9:$B$20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'１．売れる時期を把握する'!$D$9:$D$20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1319838</c:v>
                </c:pt>
                <c:pt idx="4">
                  <c:v>1503301</c:v>
                </c:pt>
                <c:pt idx="5">
                  <c:v>2045599</c:v>
                </c:pt>
                <c:pt idx="6">
                  <c:v>1599146</c:v>
                </c:pt>
                <c:pt idx="7">
                  <c:v>1258312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'１．売れる時期を把握する'!$E$8</c:f>
              <c:strCache>
                <c:ptCount val="1"/>
                <c:pt idx="0">
                  <c:v>秋物</c:v>
                </c:pt>
              </c:strCache>
            </c:strRef>
          </c:tx>
          <c:marker>
            <c:symbol val="none"/>
          </c:marker>
          <c:cat>
            <c:strRef>
              <c:f>'１．売れる時期を把握する'!$B$9:$B$20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'１．売れる時期を把握する'!$E$9:$E$20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1286249</c:v>
                </c:pt>
                <c:pt idx="7">
                  <c:v>1501571</c:v>
                </c:pt>
                <c:pt idx="8">
                  <c:v>2001892</c:v>
                </c:pt>
                <c:pt idx="9">
                  <c:v>1752583</c:v>
                </c:pt>
                <c:pt idx="10">
                  <c:v>1472034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'１．売れる時期を把握する'!$F$8</c:f>
              <c:strCache>
                <c:ptCount val="1"/>
                <c:pt idx="0">
                  <c:v>冬物</c:v>
                </c:pt>
              </c:strCache>
            </c:strRef>
          </c:tx>
          <c:marker>
            <c:symbol val="none"/>
          </c:marker>
          <c:cat>
            <c:strRef>
              <c:f>'１．売れる時期を把握する'!$B$9:$B$20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'１．売れる時期を把握する'!$F$9:$F$20</c:f>
              <c:numCache>
                <c:formatCode>#,##0;[Red]\-#,##0</c:formatCode>
                <c:ptCount val="12"/>
                <c:pt idx="0">
                  <c:v>1706618</c:v>
                </c:pt>
                <c:pt idx="1">
                  <c:v>1307053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1050044</c:v>
                </c:pt>
                <c:pt idx="10">
                  <c:v>1854566</c:v>
                </c:pt>
                <c:pt idx="11">
                  <c:v>2133512</c:v>
                </c:pt>
              </c:numCache>
            </c:numRef>
          </c:val>
        </c:ser>
        <c:marker val="1"/>
        <c:axId val="189324672"/>
        <c:axId val="192087168"/>
      </c:lineChart>
      <c:catAx>
        <c:axId val="189324672"/>
        <c:scaling>
          <c:orientation val="minMax"/>
        </c:scaling>
        <c:axPos val="b"/>
        <c:majorGridlines/>
        <c:majorTickMark val="none"/>
        <c:tickLblPos val="nextTo"/>
        <c:crossAx val="192087168"/>
        <c:crosses val="autoZero"/>
        <c:auto val="1"/>
        <c:lblAlgn val="ctr"/>
        <c:lblOffset val="100"/>
      </c:catAx>
      <c:valAx>
        <c:axId val="192087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</c:title>
        <c:numFmt formatCode="#,##0;[Red]\-#,##0" sourceLinked="1"/>
        <c:tickLblPos val="nextTo"/>
        <c:crossAx val="1893246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'２．環境要因を把握する'!$B$10:$B$17</c:f>
              <c:strCache>
                <c:ptCount val="8"/>
                <c:pt idx="0">
                  <c:v>札幌店</c:v>
                </c:pt>
                <c:pt idx="1">
                  <c:v>仙台店</c:v>
                </c:pt>
                <c:pt idx="2">
                  <c:v>新宿店</c:v>
                </c:pt>
                <c:pt idx="3">
                  <c:v>銀座店</c:v>
                </c:pt>
                <c:pt idx="4">
                  <c:v>梅田店</c:v>
                </c:pt>
                <c:pt idx="5">
                  <c:v>神戸店</c:v>
                </c:pt>
                <c:pt idx="6">
                  <c:v>広島店</c:v>
                </c:pt>
                <c:pt idx="7">
                  <c:v>福岡店</c:v>
                </c:pt>
              </c:strCache>
            </c:strRef>
          </c:cat>
          <c:val>
            <c:numRef>
              <c:f>'２．環境要因を把握する'!$C$10:$C$17</c:f>
              <c:numCache>
                <c:formatCode>#,##0;[Red]\-#,##0</c:formatCode>
                <c:ptCount val="8"/>
                <c:pt idx="0">
                  <c:v>5436422.25</c:v>
                </c:pt>
                <c:pt idx="1">
                  <c:v>4765334</c:v>
                </c:pt>
                <c:pt idx="2">
                  <c:v>7929218.5</c:v>
                </c:pt>
                <c:pt idx="3">
                  <c:v>8938375.25</c:v>
                </c:pt>
                <c:pt idx="4">
                  <c:v>7665033.25</c:v>
                </c:pt>
                <c:pt idx="5">
                  <c:v>7439052.25</c:v>
                </c:pt>
                <c:pt idx="6">
                  <c:v>5419842.75</c:v>
                </c:pt>
                <c:pt idx="7">
                  <c:v>4987839.5</c:v>
                </c:pt>
              </c:numCache>
            </c:numRef>
          </c:val>
        </c:ser>
        <c:axId val="192275584"/>
        <c:axId val="192277120"/>
      </c:barChart>
      <c:catAx>
        <c:axId val="192275584"/>
        <c:scaling>
          <c:orientation val="minMax"/>
        </c:scaling>
        <c:axPos val="b"/>
        <c:numFmt formatCode="General" sourceLinked="1"/>
        <c:majorTickMark val="none"/>
        <c:tickLblPos val="nextTo"/>
        <c:crossAx val="192277120"/>
        <c:crosses val="autoZero"/>
        <c:auto val="1"/>
        <c:lblAlgn val="ctr"/>
        <c:lblOffset val="100"/>
      </c:catAx>
      <c:valAx>
        <c:axId val="1922771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92275584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'２．環境要因を把握する'!$Q$20:$Q$32</c:f>
              <c:strCache>
                <c:ptCount val="13"/>
                <c:pt idx="0">
                  <c:v>10時代</c:v>
                </c:pt>
                <c:pt idx="1">
                  <c:v>11時代</c:v>
                </c:pt>
                <c:pt idx="2">
                  <c:v>12時代</c:v>
                </c:pt>
                <c:pt idx="3">
                  <c:v>13時代</c:v>
                </c:pt>
                <c:pt idx="4">
                  <c:v>14時代</c:v>
                </c:pt>
                <c:pt idx="5">
                  <c:v>15時代</c:v>
                </c:pt>
                <c:pt idx="6">
                  <c:v>16時代</c:v>
                </c:pt>
                <c:pt idx="7">
                  <c:v>17時代</c:v>
                </c:pt>
                <c:pt idx="8">
                  <c:v>18時代</c:v>
                </c:pt>
                <c:pt idx="9">
                  <c:v>19時代</c:v>
                </c:pt>
                <c:pt idx="10">
                  <c:v>20時代</c:v>
                </c:pt>
                <c:pt idx="11">
                  <c:v>21時代</c:v>
                </c:pt>
                <c:pt idx="12">
                  <c:v>22時代</c:v>
                </c:pt>
              </c:strCache>
            </c:strRef>
          </c:cat>
          <c:val>
            <c:numRef>
              <c:f>'２．環境要因を把握する'!$R$20:$R$32</c:f>
              <c:numCache>
                <c:formatCode>#,##0;[Red]\-#,##0</c:formatCode>
                <c:ptCount val="13"/>
                <c:pt idx="0">
                  <c:v>19534</c:v>
                </c:pt>
                <c:pt idx="1">
                  <c:v>28430</c:v>
                </c:pt>
                <c:pt idx="2">
                  <c:v>10348</c:v>
                </c:pt>
                <c:pt idx="3">
                  <c:v>24610</c:v>
                </c:pt>
                <c:pt idx="4">
                  <c:v>32071</c:v>
                </c:pt>
                <c:pt idx="5">
                  <c:v>33901</c:v>
                </c:pt>
                <c:pt idx="6">
                  <c:v>30486</c:v>
                </c:pt>
                <c:pt idx="7">
                  <c:v>34095</c:v>
                </c:pt>
                <c:pt idx="8">
                  <c:v>20483</c:v>
                </c:pt>
                <c:pt idx="9">
                  <c:v>18690</c:v>
                </c:pt>
                <c:pt idx="10">
                  <c:v>24683</c:v>
                </c:pt>
                <c:pt idx="11">
                  <c:v>17624</c:v>
                </c:pt>
                <c:pt idx="12">
                  <c:v>10364</c:v>
                </c:pt>
              </c:numCache>
            </c:numRef>
          </c:val>
        </c:ser>
        <c:axId val="192190336"/>
        <c:axId val="192191872"/>
      </c:barChart>
      <c:catAx>
        <c:axId val="192190336"/>
        <c:scaling>
          <c:orientation val="minMax"/>
        </c:scaling>
        <c:axPos val="b"/>
        <c:numFmt formatCode="General" sourceLinked="1"/>
        <c:majorTickMark val="none"/>
        <c:tickLblPos val="nextTo"/>
        <c:crossAx val="192191872"/>
        <c:crosses val="autoZero"/>
        <c:auto val="1"/>
        <c:lblAlgn val="ctr"/>
        <c:lblOffset val="100"/>
      </c:catAx>
      <c:valAx>
        <c:axId val="1921918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92190336"/>
        <c:crosses val="autoZero"/>
        <c:crossBetween val="between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'２．環境要因を把握する'!$AF$10:$AF$16</c:f>
              <c:strCache>
                <c:ptCount val="7"/>
                <c:pt idx="0">
                  <c:v>日</c:v>
                </c:pt>
                <c:pt idx="1">
                  <c:v>月</c:v>
                </c:pt>
                <c:pt idx="2">
                  <c:v>火</c:v>
                </c:pt>
                <c:pt idx="3">
                  <c:v>水</c:v>
                </c:pt>
                <c:pt idx="4">
                  <c:v>木</c:v>
                </c:pt>
                <c:pt idx="5">
                  <c:v>金</c:v>
                </c:pt>
                <c:pt idx="6">
                  <c:v>土</c:v>
                </c:pt>
              </c:strCache>
            </c:strRef>
          </c:cat>
          <c:val>
            <c:numRef>
              <c:f>'２．環境要因を把握する'!$AG$10:$AG$16</c:f>
              <c:numCache>
                <c:formatCode>#,##0;[Red]\-#,##0</c:formatCode>
                <c:ptCount val="7"/>
                <c:pt idx="0">
                  <c:v>310578</c:v>
                </c:pt>
                <c:pt idx="1">
                  <c:v>197064</c:v>
                </c:pt>
                <c:pt idx="2">
                  <c:v>214039</c:v>
                </c:pt>
                <c:pt idx="3">
                  <c:v>220345</c:v>
                </c:pt>
                <c:pt idx="4">
                  <c:v>183076</c:v>
                </c:pt>
                <c:pt idx="5">
                  <c:v>254103</c:v>
                </c:pt>
                <c:pt idx="6">
                  <c:v>304013</c:v>
                </c:pt>
              </c:numCache>
            </c:numRef>
          </c:val>
        </c:ser>
        <c:axId val="192207488"/>
        <c:axId val="192295296"/>
      </c:barChart>
      <c:catAx>
        <c:axId val="192207488"/>
        <c:scaling>
          <c:orientation val="minMax"/>
        </c:scaling>
        <c:axPos val="b"/>
        <c:majorTickMark val="none"/>
        <c:tickLblPos val="nextTo"/>
        <c:crossAx val="192295296"/>
        <c:crosses val="autoZero"/>
        <c:auto val="1"/>
        <c:lblAlgn val="ctr"/>
        <c:lblOffset val="100"/>
      </c:catAx>
      <c:valAx>
        <c:axId val="192295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92207488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'２．環境要因を把握する'!$AU$10:$AU$14</c:f>
              <c:strCache>
                <c:ptCount val="5"/>
                <c:pt idx="0">
                  <c:v>快晴</c:v>
                </c:pt>
                <c:pt idx="1">
                  <c:v>晴れ</c:v>
                </c:pt>
                <c:pt idx="2">
                  <c:v>曇り</c:v>
                </c:pt>
                <c:pt idx="3">
                  <c:v>小雨</c:v>
                </c:pt>
                <c:pt idx="4">
                  <c:v>大雨</c:v>
                </c:pt>
              </c:strCache>
            </c:strRef>
          </c:cat>
          <c:val>
            <c:numRef>
              <c:f>'２．環境要因を把握する'!$AV$10:$AV$14</c:f>
              <c:numCache>
                <c:formatCode>#,##0;[Red]\-#,##0</c:formatCode>
                <c:ptCount val="5"/>
                <c:pt idx="0">
                  <c:v>1132417</c:v>
                </c:pt>
                <c:pt idx="1">
                  <c:v>1310378</c:v>
                </c:pt>
                <c:pt idx="2">
                  <c:v>1306428</c:v>
                </c:pt>
                <c:pt idx="3">
                  <c:v>995307</c:v>
                </c:pt>
                <c:pt idx="4">
                  <c:v>720318</c:v>
                </c:pt>
              </c:numCache>
            </c:numRef>
          </c:val>
        </c:ser>
        <c:axId val="192302464"/>
        <c:axId val="192316544"/>
      </c:barChart>
      <c:catAx>
        <c:axId val="192302464"/>
        <c:scaling>
          <c:orientation val="minMax"/>
        </c:scaling>
        <c:axPos val="b"/>
        <c:majorTickMark val="none"/>
        <c:tickLblPos val="nextTo"/>
        <c:crossAx val="192316544"/>
        <c:crosses val="autoZero"/>
        <c:auto val="1"/>
        <c:lblAlgn val="ctr"/>
        <c:lblOffset val="100"/>
      </c:catAx>
      <c:valAx>
        <c:axId val="1923165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92302464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"/>
  <c:chart>
    <c:autoTitleDeleted val="1"/>
    <c:plotArea>
      <c:layout/>
      <c:barChart>
        <c:barDir val="col"/>
        <c:grouping val="clustered"/>
        <c:ser>
          <c:idx val="0"/>
          <c:order val="0"/>
          <c:cat>
            <c:numRef>
              <c:f>'３．最適在庫数を求める'!$A$22:$A$51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'３．最適在庫数を求める'!$B$22:$B$51</c:f>
              <c:numCache>
                <c:formatCode>General</c:formatCode>
                <c:ptCount val="3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axId val="192897792"/>
        <c:axId val="192899712"/>
      </c:barChart>
      <c:catAx>
        <c:axId val="19289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経過日数</a:t>
                </a:r>
                <a:r>
                  <a:rPr lang="en-US" altLang="ja-JP"/>
                  <a:t>(</a:t>
                </a:r>
                <a:r>
                  <a:rPr lang="ja-JP" altLang="en-US"/>
                  <a:t>日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92899712"/>
        <c:crosses val="autoZero"/>
        <c:auto val="1"/>
        <c:lblAlgn val="ctr"/>
        <c:lblOffset val="100"/>
      </c:catAx>
      <c:valAx>
        <c:axId val="192899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tickLblPos val="nextTo"/>
        <c:crossAx val="192897792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'３．最適在庫数を求める'!$L$22:$L$62</c:f>
              <c:numCache>
                <c:formatCode>General</c:formatCode>
                <c:ptCount val="41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10.5</c:v>
                </c:pt>
                <c:pt idx="12">
                  <c:v>11</c:v>
                </c:pt>
                <c:pt idx="13">
                  <c:v>11.5</c:v>
                </c:pt>
                <c:pt idx="14">
                  <c:v>12</c:v>
                </c:pt>
                <c:pt idx="15">
                  <c:v>12.5</c:v>
                </c:pt>
                <c:pt idx="16">
                  <c:v>13</c:v>
                </c:pt>
                <c:pt idx="17">
                  <c:v>13.5</c:v>
                </c:pt>
                <c:pt idx="18">
                  <c:v>14</c:v>
                </c:pt>
                <c:pt idx="19">
                  <c:v>14.5</c:v>
                </c:pt>
                <c:pt idx="20">
                  <c:v>15</c:v>
                </c:pt>
                <c:pt idx="21">
                  <c:v>15.5</c:v>
                </c:pt>
                <c:pt idx="22">
                  <c:v>16</c:v>
                </c:pt>
                <c:pt idx="23">
                  <c:v>16.5</c:v>
                </c:pt>
                <c:pt idx="24">
                  <c:v>17</c:v>
                </c:pt>
                <c:pt idx="25">
                  <c:v>17.5</c:v>
                </c:pt>
                <c:pt idx="26">
                  <c:v>18</c:v>
                </c:pt>
                <c:pt idx="27">
                  <c:v>18.5</c:v>
                </c:pt>
                <c:pt idx="28">
                  <c:v>19</c:v>
                </c:pt>
                <c:pt idx="29">
                  <c:v>19.5</c:v>
                </c:pt>
                <c:pt idx="30">
                  <c:v>20</c:v>
                </c:pt>
                <c:pt idx="31">
                  <c:v>20.5</c:v>
                </c:pt>
                <c:pt idx="32">
                  <c:v>21</c:v>
                </c:pt>
                <c:pt idx="33">
                  <c:v>21.5</c:v>
                </c:pt>
                <c:pt idx="34">
                  <c:v>22</c:v>
                </c:pt>
                <c:pt idx="35">
                  <c:v>22.5</c:v>
                </c:pt>
                <c:pt idx="36">
                  <c:v>23</c:v>
                </c:pt>
                <c:pt idx="37">
                  <c:v>23.5</c:v>
                </c:pt>
                <c:pt idx="38">
                  <c:v>24</c:v>
                </c:pt>
                <c:pt idx="39">
                  <c:v>24.5</c:v>
                </c:pt>
                <c:pt idx="40">
                  <c:v>25</c:v>
                </c:pt>
              </c:numCache>
            </c:numRef>
          </c:cat>
          <c:val>
            <c:numRef>
              <c:f>'３．最適在庫数を求める'!$P$22:$P$62</c:f>
              <c:numCache>
                <c:formatCode>General</c:formatCode>
                <c:ptCount val="41"/>
                <c:pt idx="0">
                  <c:v>6.0828199979132017E-4</c:v>
                </c:pt>
                <c:pt idx="1">
                  <c:v>1.0268485194972489E-3</c:v>
                </c:pt>
                <c:pt idx="2">
                  <c:v>1.6875093445688774E-3</c:v>
                </c:pt>
                <c:pt idx="3">
                  <c:v>2.6997551634069116E-3</c:v>
                </c:pt>
                <c:pt idx="4">
                  <c:v>4.2047575921415987E-3</c:v>
                </c:pt>
                <c:pt idx="5">
                  <c:v>6.3752311418874968E-3</c:v>
                </c:pt>
                <c:pt idx="6">
                  <c:v>9.4099929066763961E-3</c:v>
                </c:pt>
                <c:pt idx="7">
                  <c:v>1.3521380856960592E-2</c:v>
                </c:pt>
                <c:pt idx="8">
                  <c:v>1.8914339686098947E-2</c:v>
                </c:pt>
                <c:pt idx="9">
                  <c:v>2.5757262965053967E-2</c:v>
                </c:pt>
                <c:pt idx="10">
                  <c:v>3.4146534041807224E-2</c:v>
                </c:pt>
                <c:pt idx="11">
                  <c:v>4.4068871928982449E-2</c:v>
                </c:pt>
                <c:pt idx="12">
                  <c:v>5.5367590968898907E-2</c:v>
                </c:pt>
                <c:pt idx="13">
                  <c:v>6.7720118756348202E-2</c:v>
                </c:pt>
                <c:pt idx="14">
                  <c:v>8.0633996060642046E-2</c:v>
                </c:pt>
                <c:pt idx="15">
                  <c:v>9.3466728974468685E-2</c:v>
                </c:pt>
                <c:pt idx="16">
                  <c:v>0.10547129878331427</c:v>
                </c:pt>
                <c:pt idx="17">
                  <c:v>0.11586437753646385</c:v>
                </c:pt>
                <c:pt idx="18">
                  <c:v>0.12390931625899862</c:v>
                </c:pt>
                <c:pt idx="19">
                  <c:v>0.12900198029212484</c:v>
                </c:pt>
                <c:pt idx="20">
                  <c:v>0.13074563018921109</c:v>
                </c:pt>
                <c:pt idx="21">
                  <c:v>0.12900198029212484</c:v>
                </c:pt>
                <c:pt idx="22">
                  <c:v>0.12390931625899862</c:v>
                </c:pt>
                <c:pt idx="23">
                  <c:v>0.11586437753646385</c:v>
                </c:pt>
                <c:pt idx="24">
                  <c:v>0.10547129878331427</c:v>
                </c:pt>
                <c:pt idx="25">
                  <c:v>9.3466728974468685E-2</c:v>
                </c:pt>
                <c:pt idx="26">
                  <c:v>8.0633996060642046E-2</c:v>
                </c:pt>
                <c:pt idx="27">
                  <c:v>6.7720118756348202E-2</c:v>
                </c:pt>
                <c:pt idx="28">
                  <c:v>5.5367590968898907E-2</c:v>
                </c:pt>
                <c:pt idx="29">
                  <c:v>4.4068871928982449E-2</c:v>
                </c:pt>
                <c:pt idx="30">
                  <c:v>3.4146534041807224E-2</c:v>
                </c:pt>
                <c:pt idx="31">
                  <c:v>2.5757262965053967E-2</c:v>
                </c:pt>
                <c:pt idx="32">
                  <c:v>1.8914339686098947E-2</c:v>
                </c:pt>
                <c:pt idx="33">
                  <c:v>1.3521380856960592E-2</c:v>
                </c:pt>
                <c:pt idx="34">
                  <c:v>9.4099929066763961E-3</c:v>
                </c:pt>
                <c:pt idx="35">
                  <c:v>6.3752311418874968E-3</c:v>
                </c:pt>
                <c:pt idx="36">
                  <c:v>4.2047575921415987E-3</c:v>
                </c:pt>
                <c:pt idx="37">
                  <c:v>2.6997551634069116E-3</c:v>
                </c:pt>
                <c:pt idx="38">
                  <c:v>1.6875093445688774E-3</c:v>
                </c:pt>
                <c:pt idx="39">
                  <c:v>1.0268485194972489E-3</c:v>
                </c:pt>
                <c:pt idx="40">
                  <c:v>6.0828199979132017E-4</c:v>
                </c:pt>
              </c:numCache>
            </c:numRef>
          </c:val>
        </c:ser>
        <c:hiLowLines/>
        <c:marker val="1"/>
        <c:axId val="192916480"/>
        <c:axId val="192935040"/>
      </c:lineChart>
      <c:catAx>
        <c:axId val="192916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92935040"/>
        <c:crosses val="autoZero"/>
        <c:auto val="1"/>
        <c:lblAlgn val="ctr"/>
        <c:lblOffset val="100"/>
      </c:catAx>
      <c:valAx>
        <c:axId val="192935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確率</a:t>
                </a:r>
              </a:p>
            </c:rich>
          </c:tx>
        </c:title>
        <c:numFmt formatCode="General" sourceLinked="1"/>
        <c:tickLblPos val="nextTo"/>
        <c:crossAx val="192916480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'３．最適在庫数を求める'!$AE$21</c:f>
              <c:strCache>
                <c:ptCount val="1"/>
                <c:pt idx="0">
                  <c:v>欠品数</c:v>
                </c:pt>
              </c:strCache>
            </c:strRef>
          </c:tx>
          <c:marker>
            <c:symbol val="none"/>
          </c:marker>
          <c:cat>
            <c:numRef>
              <c:f>'３．最適在庫数を求める'!$AA$22:$AA$41</c:f>
              <c:numCache>
                <c:formatCode>0.000_ </c:formatCode>
                <c:ptCount val="20"/>
                <c:pt idx="0">
                  <c:v>0.1</c:v>
                </c:pt>
                <c:pt idx="1">
                  <c:v>9.5000000000000001E-2</c:v>
                </c:pt>
                <c:pt idx="2">
                  <c:v>0.09</c:v>
                </c:pt>
                <c:pt idx="3">
                  <c:v>8.4999999999999992E-2</c:v>
                </c:pt>
                <c:pt idx="4">
                  <c:v>7.9999999999999988E-2</c:v>
                </c:pt>
                <c:pt idx="5">
                  <c:v>7.4999999999999983E-2</c:v>
                </c:pt>
                <c:pt idx="6">
                  <c:v>6.9999999999999979E-2</c:v>
                </c:pt>
                <c:pt idx="7">
                  <c:v>6.4999999999999974E-2</c:v>
                </c:pt>
                <c:pt idx="8">
                  <c:v>5.9999999999999977E-2</c:v>
                </c:pt>
                <c:pt idx="9">
                  <c:v>5.4999999999999979E-2</c:v>
                </c:pt>
                <c:pt idx="10">
                  <c:v>4.9999999999999982E-2</c:v>
                </c:pt>
                <c:pt idx="11">
                  <c:v>4.4999999999999984E-2</c:v>
                </c:pt>
                <c:pt idx="12">
                  <c:v>3.9999999999999987E-2</c:v>
                </c:pt>
                <c:pt idx="13">
                  <c:v>3.4999999999999989E-2</c:v>
                </c:pt>
                <c:pt idx="14">
                  <c:v>2.9999999999999988E-2</c:v>
                </c:pt>
                <c:pt idx="15">
                  <c:v>2.4999999999999988E-2</c:v>
                </c:pt>
                <c:pt idx="16">
                  <c:v>1.9999999999999987E-2</c:v>
                </c:pt>
                <c:pt idx="17">
                  <c:v>1.4999999999999986E-2</c:v>
                </c:pt>
                <c:pt idx="18">
                  <c:v>9.9999999999999846E-3</c:v>
                </c:pt>
                <c:pt idx="19">
                  <c:v>4.9999999999999845E-3</c:v>
                </c:pt>
              </c:numCache>
            </c:numRef>
          </c:cat>
          <c:val>
            <c:numRef>
              <c:f>'３．最適在庫数を求める'!$AE$22:$AE$41</c:f>
              <c:numCache>
                <c:formatCode>0.00_ </c:formatCode>
                <c:ptCount val="20"/>
                <c:pt idx="0">
                  <c:v>2.1011533389686199</c:v>
                </c:pt>
                <c:pt idx="1">
                  <c:v>1.9943650630974978</c:v>
                </c:pt>
                <c:pt idx="2">
                  <c:v>1.8881235247634023</c:v>
                </c:pt>
                <c:pt idx="3">
                  <c:v>1.7823976019916914</c:v>
                </c:pt>
                <c:pt idx="4">
                  <c:v>1.6771543350084159</c:v>
                </c:pt>
                <c:pt idx="5">
                  <c:v>1.5723585314113189</c:v>
                </c:pt>
                <c:pt idx="6">
                  <c:v>1.4679722699800941</c:v>
                </c:pt>
                <c:pt idx="7">
                  <c:v>1.3639542673761698</c:v>
                </c:pt>
                <c:pt idx="8">
                  <c:v>1.2602590556810158</c:v>
                </c:pt>
                <c:pt idx="9">
                  <c:v>1.1568358929946083</c:v>
                </c:pt>
                <c:pt idx="10">
                  <c:v>1.0536272873449211</c:v>
                </c:pt>
                <c:pt idx="11">
                  <c:v>0.95056694300545475</c:v>
                </c:pt>
                <c:pt idx="12">
                  <c:v>0.84757681210251201</c:v>
                </c:pt>
                <c:pt idx="13">
                  <c:v>0.74456269804782693</c:v>
                </c:pt>
                <c:pt idx="14">
                  <c:v>0.64140738451199919</c:v>
                </c:pt>
                <c:pt idx="15">
                  <c:v>0.53795923611474972</c:v>
                </c:pt>
                <c:pt idx="16">
                  <c:v>0.43401173099085599</c:v>
                </c:pt>
                <c:pt idx="17">
                  <c:v>0.32926242457910465</c:v>
                </c:pt>
                <c:pt idx="18">
                  <c:v>0.22321567833846737</c:v>
                </c:pt>
                <c:pt idx="19">
                  <c:v>0.11487231804181305</c:v>
                </c:pt>
              </c:numCache>
            </c:numRef>
          </c:val>
        </c:ser>
        <c:ser>
          <c:idx val="1"/>
          <c:order val="1"/>
          <c:tx>
            <c:strRef>
              <c:f>'３．最適在庫数を求める'!$AF$21</c:f>
              <c:strCache>
                <c:ptCount val="1"/>
                <c:pt idx="0">
                  <c:v>廃棄数</c:v>
                </c:pt>
              </c:strCache>
            </c:strRef>
          </c:tx>
          <c:marker>
            <c:symbol val="none"/>
          </c:marker>
          <c:cat>
            <c:numRef>
              <c:f>'３．最適在庫数を求める'!$AA$22:$AA$41</c:f>
              <c:numCache>
                <c:formatCode>0.000_ </c:formatCode>
                <c:ptCount val="20"/>
                <c:pt idx="0">
                  <c:v>0.1</c:v>
                </c:pt>
                <c:pt idx="1">
                  <c:v>9.5000000000000001E-2</c:v>
                </c:pt>
                <c:pt idx="2">
                  <c:v>0.09</c:v>
                </c:pt>
                <c:pt idx="3">
                  <c:v>8.4999999999999992E-2</c:v>
                </c:pt>
                <c:pt idx="4">
                  <c:v>7.9999999999999988E-2</c:v>
                </c:pt>
                <c:pt idx="5">
                  <c:v>7.4999999999999983E-2</c:v>
                </c:pt>
                <c:pt idx="6">
                  <c:v>6.9999999999999979E-2</c:v>
                </c:pt>
                <c:pt idx="7">
                  <c:v>6.4999999999999974E-2</c:v>
                </c:pt>
                <c:pt idx="8">
                  <c:v>5.9999999999999977E-2</c:v>
                </c:pt>
                <c:pt idx="9">
                  <c:v>5.4999999999999979E-2</c:v>
                </c:pt>
                <c:pt idx="10">
                  <c:v>4.9999999999999982E-2</c:v>
                </c:pt>
                <c:pt idx="11">
                  <c:v>4.4999999999999984E-2</c:v>
                </c:pt>
                <c:pt idx="12">
                  <c:v>3.9999999999999987E-2</c:v>
                </c:pt>
                <c:pt idx="13">
                  <c:v>3.4999999999999989E-2</c:v>
                </c:pt>
                <c:pt idx="14">
                  <c:v>2.9999999999999988E-2</c:v>
                </c:pt>
                <c:pt idx="15">
                  <c:v>2.4999999999999988E-2</c:v>
                </c:pt>
                <c:pt idx="16">
                  <c:v>1.9999999999999987E-2</c:v>
                </c:pt>
                <c:pt idx="17">
                  <c:v>1.4999999999999986E-2</c:v>
                </c:pt>
                <c:pt idx="18">
                  <c:v>9.9999999999999846E-3</c:v>
                </c:pt>
                <c:pt idx="19">
                  <c:v>4.9999999999999845E-3</c:v>
                </c:pt>
              </c:numCache>
            </c:numRef>
          </c:cat>
          <c:val>
            <c:numRef>
              <c:f>'３．最適在庫数を求める'!$AF$22:$AF$41</c:f>
              <c:numCache>
                <c:formatCode>0.00_ </c:formatCode>
                <c:ptCount val="20"/>
                <c:pt idx="0">
                  <c:v>9.6181437560873426E-2</c:v>
                </c:pt>
                <c:pt idx="1">
                  <c:v>0.10251044238866044</c:v>
                </c:pt>
                <c:pt idx="2">
                  <c:v>0.10948453363054089</c:v>
                </c:pt>
                <c:pt idx="3">
                  <c:v>0.11720347202154974</c:v>
                </c:pt>
                <c:pt idx="4">
                  <c:v>0.12578893146746609</c:v>
                </c:pt>
                <c:pt idx="5">
                  <c:v>0.13539097646356679</c:v>
                </c:pt>
                <c:pt idx="6">
                  <c:v>0.14619702280148764</c:v>
                </c:pt>
                <c:pt idx="7">
                  <c:v>0.15844448619482213</c:v>
                </c:pt>
                <c:pt idx="8">
                  <c:v>0.17243905088624392</c:v>
                </c:pt>
                <c:pt idx="9">
                  <c:v>0.18858175897868867</c:v>
                </c:pt>
                <c:pt idx="10">
                  <c:v>0.2074104246807458</c:v>
                </c:pt>
                <c:pt idx="11">
                  <c:v>0.22966526018362712</c:v>
                </c:pt>
                <c:pt idx="12">
                  <c:v>0.25639741115118864</c:v>
                </c:pt>
                <c:pt idx="13">
                  <c:v>0.2891580276741248</c:v>
                </c:pt>
                <c:pt idx="14">
                  <c:v>0.33034959135980047</c:v>
                </c:pt>
                <c:pt idx="15">
                  <c:v>0.38393498806245668</c:v>
                </c:pt>
                <c:pt idx="16">
                  <c:v>0.45703526085620966</c:v>
                </c:pt>
                <c:pt idx="17">
                  <c:v>0.56413604171437126</c:v>
                </c:pt>
                <c:pt idx="18">
                  <c:v>0.74118709461471732</c:v>
                </c:pt>
                <c:pt idx="19">
                  <c:v>1.1199003729615225</c:v>
                </c:pt>
              </c:numCache>
            </c:numRef>
          </c:val>
        </c:ser>
        <c:ser>
          <c:idx val="2"/>
          <c:order val="2"/>
          <c:tx>
            <c:strRef>
              <c:f>'３．最適在庫数を求める'!$AG$21</c:f>
              <c:strCache>
                <c:ptCount val="1"/>
                <c:pt idx="0">
                  <c:v>期待値</c:v>
                </c:pt>
              </c:strCache>
            </c:strRef>
          </c:tx>
          <c:marker>
            <c:symbol val="none"/>
          </c:marker>
          <c:cat>
            <c:numRef>
              <c:f>'３．最適在庫数を求める'!$AA$22:$AA$41</c:f>
              <c:numCache>
                <c:formatCode>0.000_ </c:formatCode>
                <c:ptCount val="20"/>
                <c:pt idx="0">
                  <c:v>0.1</c:v>
                </c:pt>
                <c:pt idx="1">
                  <c:v>9.5000000000000001E-2</c:v>
                </c:pt>
                <c:pt idx="2">
                  <c:v>0.09</c:v>
                </c:pt>
                <c:pt idx="3">
                  <c:v>8.4999999999999992E-2</c:v>
                </c:pt>
                <c:pt idx="4">
                  <c:v>7.9999999999999988E-2</c:v>
                </c:pt>
                <c:pt idx="5">
                  <c:v>7.4999999999999983E-2</c:v>
                </c:pt>
                <c:pt idx="6">
                  <c:v>6.9999999999999979E-2</c:v>
                </c:pt>
                <c:pt idx="7">
                  <c:v>6.4999999999999974E-2</c:v>
                </c:pt>
                <c:pt idx="8">
                  <c:v>5.9999999999999977E-2</c:v>
                </c:pt>
                <c:pt idx="9">
                  <c:v>5.4999999999999979E-2</c:v>
                </c:pt>
                <c:pt idx="10">
                  <c:v>4.9999999999999982E-2</c:v>
                </c:pt>
                <c:pt idx="11">
                  <c:v>4.4999999999999984E-2</c:v>
                </c:pt>
                <c:pt idx="12">
                  <c:v>3.9999999999999987E-2</c:v>
                </c:pt>
                <c:pt idx="13">
                  <c:v>3.4999999999999989E-2</c:v>
                </c:pt>
                <c:pt idx="14">
                  <c:v>2.9999999999999988E-2</c:v>
                </c:pt>
                <c:pt idx="15">
                  <c:v>2.4999999999999988E-2</c:v>
                </c:pt>
                <c:pt idx="16">
                  <c:v>1.9999999999999987E-2</c:v>
                </c:pt>
                <c:pt idx="17">
                  <c:v>1.4999999999999986E-2</c:v>
                </c:pt>
                <c:pt idx="18">
                  <c:v>9.9999999999999846E-3</c:v>
                </c:pt>
                <c:pt idx="19">
                  <c:v>4.9999999999999845E-3</c:v>
                </c:pt>
              </c:numCache>
            </c:numRef>
          </c:cat>
          <c:val>
            <c:numRef>
              <c:f>'３．最適在庫数を求める'!$AG$22:$AG$41</c:f>
              <c:numCache>
                <c:formatCode>0.00_ </c:formatCode>
                <c:ptCount val="20"/>
                <c:pt idx="0">
                  <c:v>2.1973347765294933</c:v>
                </c:pt>
                <c:pt idx="1">
                  <c:v>2.0968755054861581</c:v>
                </c:pt>
                <c:pt idx="2">
                  <c:v>1.9976080583939431</c:v>
                </c:pt>
                <c:pt idx="3">
                  <c:v>1.8996010740132412</c:v>
                </c:pt>
                <c:pt idx="4">
                  <c:v>1.802943266475882</c:v>
                </c:pt>
                <c:pt idx="5">
                  <c:v>1.7077495078748857</c:v>
                </c:pt>
                <c:pt idx="6">
                  <c:v>1.6141692927815818</c:v>
                </c:pt>
                <c:pt idx="7">
                  <c:v>1.522398753570992</c:v>
                </c:pt>
                <c:pt idx="8">
                  <c:v>1.4326981065672597</c:v>
                </c:pt>
                <c:pt idx="9">
                  <c:v>1.345417651973297</c:v>
                </c:pt>
                <c:pt idx="10">
                  <c:v>1.2610377120256668</c:v>
                </c:pt>
                <c:pt idx="11">
                  <c:v>1.180232203189082</c:v>
                </c:pt>
                <c:pt idx="12">
                  <c:v>1.1039742232537006</c:v>
                </c:pt>
                <c:pt idx="13">
                  <c:v>1.0337207257219516</c:v>
                </c:pt>
                <c:pt idx="14">
                  <c:v>0.97175697587179966</c:v>
                </c:pt>
                <c:pt idx="15">
                  <c:v>0.92189422417720635</c:v>
                </c:pt>
                <c:pt idx="16">
                  <c:v>0.89104699184706559</c:v>
                </c:pt>
                <c:pt idx="17">
                  <c:v>0.89339846629347597</c:v>
                </c:pt>
                <c:pt idx="18">
                  <c:v>0.96440277295318466</c:v>
                </c:pt>
                <c:pt idx="19">
                  <c:v>1.2347726910033354</c:v>
                </c:pt>
              </c:numCache>
            </c:numRef>
          </c:val>
        </c:ser>
        <c:marker val="1"/>
        <c:axId val="192968576"/>
        <c:axId val="192987136"/>
      </c:lineChart>
      <c:catAx>
        <c:axId val="19296857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欠品率</a:t>
                </a:r>
                <a:r>
                  <a:rPr lang="en-US" altLang="ja-JP"/>
                  <a:t>(</a:t>
                </a:r>
                <a:r>
                  <a:rPr lang="ja-JP" altLang="en-US"/>
                  <a:t>確率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0.000_ " sourceLinked="1"/>
        <c:majorTickMark val="none"/>
        <c:tickLblPos val="nextTo"/>
        <c:crossAx val="192987136"/>
        <c:crosses val="autoZero"/>
        <c:auto val="1"/>
        <c:lblAlgn val="ctr"/>
        <c:lblOffset val="100"/>
      </c:catAx>
      <c:valAx>
        <c:axId val="192987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期待値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0.00_ " sourceLinked="1"/>
        <c:tickLblPos val="nextTo"/>
        <c:crossAx val="1929685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'３．最適在庫数を求める'!$AA$22:$AA$41</c:f>
              <c:numCache>
                <c:formatCode>0.000_ </c:formatCode>
                <c:ptCount val="20"/>
                <c:pt idx="0">
                  <c:v>0.1</c:v>
                </c:pt>
                <c:pt idx="1">
                  <c:v>9.5000000000000001E-2</c:v>
                </c:pt>
                <c:pt idx="2">
                  <c:v>0.09</c:v>
                </c:pt>
                <c:pt idx="3">
                  <c:v>8.4999999999999992E-2</c:v>
                </c:pt>
                <c:pt idx="4">
                  <c:v>7.9999999999999988E-2</c:v>
                </c:pt>
                <c:pt idx="5">
                  <c:v>7.4999999999999983E-2</c:v>
                </c:pt>
                <c:pt idx="6">
                  <c:v>6.9999999999999979E-2</c:v>
                </c:pt>
                <c:pt idx="7">
                  <c:v>6.4999999999999974E-2</c:v>
                </c:pt>
                <c:pt idx="8">
                  <c:v>5.9999999999999977E-2</c:v>
                </c:pt>
                <c:pt idx="9">
                  <c:v>5.4999999999999979E-2</c:v>
                </c:pt>
                <c:pt idx="10">
                  <c:v>4.9999999999999982E-2</c:v>
                </c:pt>
                <c:pt idx="11">
                  <c:v>4.4999999999999984E-2</c:v>
                </c:pt>
                <c:pt idx="12">
                  <c:v>3.9999999999999987E-2</c:v>
                </c:pt>
                <c:pt idx="13">
                  <c:v>3.4999999999999989E-2</c:v>
                </c:pt>
                <c:pt idx="14">
                  <c:v>2.9999999999999988E-2</c:v>
                </c:pt>
                <c:pt idx="15">
                  <c:v>2.4999999999999988E-2</c:v>
                </c:pt>
                <c:pt idx="16">
                  <c:v>1.9999999999999987E-2</c:v>
                </c:pt>
                <c:pt idx="17">
                  <c:v>1.4999999999999986E-2</c:v>
                </c:pt>
                <c:pt idx="18">
                  <c:v>9.9999999999999846E-3</c:v>
                </c:pt>
                <c:pt idx="19">
                  <c:v>4.9999999999999845E-3</c:v>
                </c:pt>
              </c:numCache>
            </c:numRef>
          </c:cat>
          <c:val>
            <c:numRef>
              <c:f>'３．最適在庫数を求める'!$AA$22:$AA$41</c:f>
              <c:numCache>
                <c:formatCode>0.000_ </c:formatCode>
                <c:ptCount val="20"/>
                <c:pt idx="0">
                  <c:v>0.1</c:v>
                </c:pt>
                <c:pt idx="1">
                  <c:v>9.5000000000000001E-2</c:v>
                </c:pt>
                <c:pt idx="2">
                  <c:v>0.09</c:v>
                </c:pt>
                <c:pt idx="3">
                  <c:v>8.4999999999999992E-2</c:v>
                </c:pt>
                <c:pt idx="4">
                  <c:v>7.9999999999999988E-2</c:v>
                </c:pt>
                <c:pt idx="5">
                  <c:v>7.4999999999999983E-2</c:v>
                </c:pt>
                <c:pt idx="6">
                  <c:v>6.9999999999999979E-2</c:v>
                </c:pt>
                <c:pt idx="7">
                  <c:v>6.4999999999999974E-2</c:v>
                </c:pt>
                <c:pt idx="8">
                  <c:v>5.9999999999999977E-2</c:v>
                </c:pt>
                <c:pt idx="9">
                  <c:v>5.4999999999999979E-2</c:v>
                </c:pt>
                <c:pt idx="10">
                  <c:v>4.9999999999999982E-2</c:v>
                </c:pt>
                <c:pt idx="11">
                  <c:v>4.4999999999999984E-2</c:v>
                </c:pt>
                <c:pt idx="12">
                  <c:v>3.9999999999999987E-2</c:v>
                </c:pt>
                <c:pt idx="13">
                  <c:v>3.4999999999999989E-2</c:v>
                </c:pt>
                <c:pt idx="14">
                  <c:v>2.9999999999999988E-2</c:v>
                </c:pt>
                <c:pt idx="15">
                  <c:v>2.4999999999999988E-2</c:v>
                </c:pt>
                <c:pt idx="16">
                  <c:v>1.9999999999999987E-2</c:v>
                </c:pt>
                <c:pt idx="17">
                  <c:v>1.4999999999999986E-2</c:v>
                </c:pt>
                <c:pt idx="18">
                  <c:v>9.9999999999999846E-3</c:v>
                </c:pt>
                <c:pt idx="19">
                  <c:v>4.9999999999999845E-3</c:v>
                </c:pt>
              </c:numCache>
            </c:numRef>
          </c:val>
        </c:ser>
        <c:marker val="1"/>
        <c:axId val="192998784"/>
        <c:axId val="193074688"/>
      </c:lineChart>
      <c:catAx>
        <c:axId val="1929987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欠品率</a:t>
                </a:r>
                <a:r>
                  <a:rPr lang="en-US"/>
                  <a:t>(</a:t>
                </a:r>
                <a:r>
                  <a:rPr lang="ja-JP"/>
                  <a:t>確率</a:t>
                </a:r>
                <a:r>
                  <a:rPr lang="en-US"/>
                  <a:t>)</a:t>
                </a:r>
                <a:endParaRPr lang="ja-JP"/>
              </a:p>
            </c:rich>
          </c:tx>
        </c:title>
        <c:numFmt formatCode="0.000_ " sourceLinked="1"/>
        <c:majorTickMark val="none"/>
        <c:tickLblPos val="nextTo"/>
        <c:crossAx val="193074688"/>
        <c:crosses val="autoZero"/>
        <c:auto val="1"/>
        <c:lblAlgn val="ctr"/>
        <c:lblOffset val="100"/>
      </c:catAx>
      <c:valAx>
        <c:axId val="193074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欠品率</a:t>
                </a:r>
                <a:r>
                  <a:rPr lang="en-US" altLang="ja-JP"/>
                  <a:t>(</a:t>
                </a:r>
                <a:r>
                  <a:rPr lang="ja-JP" altLang="en-US"/>
                  <a:t>確率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0.000_ " sourceLinked="1"/>
        <c:tickLblPos val="nextTo"/>
        <c:crossAx val="192998784"/>
        <c:crosses val="autoZero"/>
        <c:crossBetween val="midCat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'３．最適在庫数を求める'!$AA$22:$AA$41</c:f>
              <c:numCache>
                <c:formatCode>0.000_ </c:formatCode>
                <c:ptCount val="20"/>
                <c:pt idx="0">
                  <c:v>0.1</c:v>
                </c:pt>
                <c:pt idx="1">
                  <c:v>9.5000000000000001E-2</c:v>
                </c:pt>
                <c:pt idx="2">
                  <c:v>0.09</c:v>
                </c:pt>
                <c:pt idx="3">
                  <c:v>8.4999999999999992E-2</c:v>
                </c:pt>
                <c:pt idx="4">
                  <c:v>7.9999999999999988E-2</c:v>
                </c:pt>
                <c:pt idx="5">
                  <c:v>7.4999999999999983E-2</c:v>
                </c:pt>
                <c:pt idx="6">
                  <c:v>6.9999999999999979E-2</c:v>
                </c:pt>
                <c:pt idx="7">
                  <c:v>6.4999999999999974E-2</c:v>
                </c:pt>
                <c:pt idx="8">
                  <c:v>5.9999999999999977E-2</c:v>
                </c:pt>
                <c:pt idx="9">
                  <c:v>5.4999999999999979E-2</c:v>
                </c:pt>
                <c:pt idx="10">
                  <c:v>4.9999999999999982E-2</c:v>
                </c:pt>
                <c:pt idx="11">
                  <c:v>4.4999999999999984E-2</c:v>
                </c:pt>
                <c:pt idx="12">
                  <c:v>3.9999999999999987E-2</c:v>
                </c:pt>
                <c:pt idx="13">
                  <c:v>3.4999999999999989E-2</c:v>
                </c:pt>
                <c:pt idx="14">
                  <c:v>2.9999999999999988E-2</c:v>
                </c:pt>
                <c:pt idx="15">
                  <c:v>2.4999999999999988E-2</c:v>
                </c:pt>
                <c:pt idx="16">
                  <c:v>1.9999999999999987E-2</c:v>
                </c:pt>
                <c:pt idx="17">
                  <c:v>1.4999999999999986E-2</c:v>
                </c:pt>
                <c:pt idx="18">
                  <c:v>9.9999999999999846E-3</c:v>
                </c:pt>
                <c:pt idx="19">
                  <c:v>4.9999999999999845E-3</c:v>
                </c:pt>
              </c:numCache>
            </c:numRef>
          </c:cat>
          <c:val>
            <c:numRef>
              <c:f>'３．最適在庫数を求める'!$AD$22:$AD$41</c:f>
              <c:numCache>
                <c:formatCode>0.0000_ </c:formatCode>
                <c:ptCount val="20"/>
                <c:pt idx="0">
                  <c:v>5.0861715789378703E-3</c:v>
                </c:pt>
                <c:pt idx="1">
                  <c:v>5.3955842236426133E-3</c:v>
                </c:pt>
                <c:pt idx="2">
                  <c:v>5.7348687978937551E-3</c:v>
                </c:pt>
                <c:pt idx="3">
                  <c:v>6.1084879262314207E-3</c:v>
                </c:pt>
                <c:pt idx="4">
                  <c:v>6.5218613012366644E-3</c:v>
                </c:pt>
                <c:pt idx="5">
                  <c:v>6.9816435125873433E-3</c:v>
                </c:pt>
                <c:pt idx="6">
                  <c:v>7.4961068475819514E-3</c:v>
                </c:pt>
                <c:pt idx="7">
                  <c:v>8.0756793629459533E-3</c:v>
                </c:pt>
                <c:pt idx="8">
                  <c:v>8.7337185789642113E-3</c:v>
                </c:pt>
                <c:pt idx="9">
                  <c:v>9.4876533451644374E-3</c:v>
                </c:pt>
                <c:pt idx="10">
                  <c:v>1.0360720790176581E-2</c:v>
                </c:pt>
                <c:pt idx="11">
                  <c:v>1.1384703975197863E-2</c:v>
                </c:pt>
                <c:pt idx="12">
                  <c:v>1.2604433382423341E-2</c:v>
                </c:pt>
                <c:pt idx="13">
                  <c:v>1.4085579207962606E-2</c:v>
                </c:pt>
                <c:pt idx="14">
                  <c:v>1.5929030313074799E-2</c:v>
                </c:pt>
                <c:pt idx="15">
                  <c:v>1.8299689293365784E-2</c:v>
                </c:pt>
                <c:pt idx="16">
                  <c:v>2.149077906318575E-2</c:v>
                </c:pt>
                <c:pt idx="17">
                  <c:v>2.6091359193280095E-2</c:v>
                </c:pt>
                <c:pt idx="18">
                  <c:v>3.3540378458941644E-2</c:v>
                </c:pt>
                <c:pt idx="19">
                  <c:v>4.8990393517477582E-2</c:v>
                </c:pt>
              </c:numCache>
            </c:numRef>
          </c:val>
        </c:ser>
        <c:marker val="1"/>
        <c:axId val="193078400"/>
        <c:axId val="193100416"/>
      </c:lineChart>
      <c:catAx>
        <c:axId val="19307840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欠品率</a:t>
                </a:r>
                <a:r>
                  <a:rPr lang="en-US"/>
                  <a:t>(</a:t>
                </a:r>
                <a:r>
                  <a:rPr lang="ja-JP"/>
                  <a:t>確率</a:t>
                </a:r>
                <a:r>
                  <a:rPr lang="en-US"/>
                  <a:t>)</a:t>
                </a:r>
                <a:endParaRPr lang="ja-JP"/>
              </a:p>
            </c:rich>
          </c:tx>
        </c:title>
        <c:numFmt formatCode="0.000_ " sourceLinked="1"/>
        <c:majorTickMark val="none"/>
        <c:tickLblPos val="nextTo"/>
        <c:crossAx val="193100416"/>
        <c:crosses val="autoZero"/>
        <c:auto val="1"/>
        <c:lblAlgn val="ctr"/>
        <c:lblOffset val="100"/>
      </c:catAx>
      <c:valAx>
        <c:axId val="193100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廃棄率</a:t>
                </a:r>
                <a:r>
                  <a:rPr lang="en-US" altLang="ja-JP"/>
                  <a:t>(</a:t>
                </a:r>
                <a:r>
                  <a:rPr lang="ja-JP" altLang="en-US"/>
                  <a:t>確率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0.0000_ " sourceLinked="1"/>
        <c:tickLblPos val="nextTo"/>
        <c:crossAx val="193078400"/>
        <c:crosses val="autoZero"/>
        <c:crossBetween val="midCat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'３．最適在庫数を求める'!$L$22:$L$62</c:f>
              <c:numCache>
                <c:formatCode>General</c:formatCode>
                <c:ptCount val="41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10.5</c:v>
                </c:pt>
                <c:pt idx="12">
                  <c:v>11</c:v>
                </c:pt>
                <c:pt idx="13">
                  <c:v>11.5</c:v>
                </c:pt>
                <c:pt idx="14">
                  <c:v>12</c:v>
                </c:pt>
                <c:pt idx="15">
                  <c:v>12.5</c:v>
                </c:pt>
                <c:pt idx="16">
                  <c:v>13</c:v>
                </c:pt>
                <c:pt idx="17">
                  <c:v>13.5</c:v>
                </c:pt>
                <c:pt idx="18">
                  <c:v>14</c:v>
                </c:pt>
                <c:pt idx="19">
                  <c:v>14.5</c:v>
                </c:pt>
                <c:pt idx="20">
                  <c:v>15</c:v>
                </c:pt>
                <c:pt idx="21">
                  <c:v>15.5</c:v>
                </c:pt>
                <c:pt idx="22">
                  <c:v>16</c:v>
                </c:pt>
                <c:pt idx="23">
                  <c:v>16.5</c:v>
                </c:pt>
                <c:pt idx="24">
                  <c:v>17</c:v>
                </c:pt>
                <c:pt idx="25">
                  <c:v>17.5</c:v>
                </c:pt>
                <c:pt idx="26">
                  <c:v>18</c:v>
                </c:pt>
                <c:pt idx="27">
                  <c:v>18.5</c:v>
                </c:pt>
                <c:pt idx="28">
                  <c:v>19</c:v>
                </c:pt>
                <c:pt idx="29">
                  <c:v>19.5</c:v>
                </c:pt>
                <c:pt idx="30">
                  <c:v>20</c:v>
                </c:pt>
                <c:pt idx="31">
                  <c:v>20.5</c:v>
                </c:pt>
                <c:pt idx="32">
                  <c:v>21</c:v>
                </c:pt>
                <c:pt idx="33">
                  <c:v>21.5</c:v>
                </c:pt>
                <c:pt idx="34">
                  <c:v>22</c:v>
                </c:pt>
                <c:pt idx="35">
                  <c:v>22.5</c:v>
                </c:pt>
                <c:pt idx="36">
                  <c:v>23</c:v>
                </c:pt>
                <c:pt idx="37">
                  <c:v>23.5</c:v>
                </c:pt>
                <c:pt idx="38">
                  <c:v>24</c:v>
                </c:pt>
                <c:pt idx="39">
                  <c:v>24.5</c:v>
                </c:pt>
                <c:pt idx="40">
                  <c:v>25</c:v>
                </c:pt>
              </c:numCache>
            </c:numRef>
          </c:cat>
          <c:val>
            <c:numRef>
              <c:f>'３．最適在庫数を求める'!$P$22:$P$62</c:f>
              <c:numCache>
                <c:formatCode>General</c:formatCode>
                <c:ptCount val="41"/>
                <c:pt idx="0">
                  <c:v>6.0828199979132017E-4</c:v>
                </c:pt>
                <c:pt idx="1">
                  <c:v>1.0268485194972489E-3</c:v>
                </c:pt>
                <c:pt idx="2">
                  <c:v>1.6875093445688774E-3</c:v>
                </c:pt>
                <c:pt idx="3">
                  <c:v>2.6997551634069116E-3</c:v>
                </c:pt>
                <c:pt idx="4">
                  <c:v>4.2047575921415987E-3</c:v>
                </c:pt>
                <c:pt idx="5">
                  <c:v>6.3752311418874968E-3</c:v>
                </c:pt>
                <c:pt idx="6">
                  <c:v>9.4099929066763961E-3</c:v>
                </c:pt>
                <c:pt idx="7">
                  <c:v>1.3521380856960592E-2</c:v>
                </c:pt>
                <c:pt idx="8">
                  <c:v>1.8914339686098947E-2</c:v>
                </c:pt>
                <c:pt idx="9">
                  <c:v>2.5757262965053967E-2</c:v>
                </c:pt>
                <c:pt idx="10">
                  <c:v>3.4146534041807224E-2</c:v>
                </c:pt>
                <c:pt idx="11">
                  <c:v>4.4068871928982449E-2</c:v>
                </c:pt>
                <c:pt idx="12">
                  <c:v>5.5367590968898907E-2</c:v>
                </c:pt>
                <c:pt idx="13">
                  <c:v>6.7720118756348202E-2</c:v>
                </c:pt>
                <c:pt idx="14">
                  <c:v>8.0633996060642046E-2</c:v>
                </c:pt>
                <c:pt idx="15">
                  <c:v>9.3466728974468685E-2</c:v>
                </c:pt>
                <c:pt idx="16">
                  <c:v>0.10547129878331427</c:v>
                </c:pt>
                <c:pt idx="17">
                  <c:v>0.11586437753646385</c:v>
                </c:pt>
                <c:pt idx="18">
                  <c:v>0.12390931625899862</c:v>
                </c:pt>
                <c:pt idx="19">
                  <c:v>0.12900198029212484</c:v>
                </c:pt>
                <c:pt idx="20">
                  <c:v>0.13074563018921109</c:v>
                </c:pt>
                <c:pt idx="21">
                  <c:v>0.12900198029212484</c:v>
                </c:pt>
                <c:pt idx="22">
                  <c:v>0.12390931625899862</c:v>
                </c:pt>
                <c:pt idx="23">
                  <c:v>0.11586437753646385</c:v>
                </c:pt>
                <c:pt idx="24">
                  <c:v>0.10547129878331427</c:v>
                </c:pt>
                <c:pt idx="25">
                  <c:v>9.3466728974468685E-2</c:v>
                </c:pt>
                <c:pt idx="26">
                  <c:v>8.0633996060642046E-2</c:v>
                </c:pt>
                <c:pt idx="27">
                  <c:v>6.7720118756348202E-2</c:v>
                </c:pt>
                <c:pt idx="28">
                  <c:v>5.5367590968898907E-2</c:v>
                </c:pt>
                <c:pt idx="29">
                  <c:v>4.4068871928982449E-2</c:v>
                </c:pt>
                <c:pt idx="30">
                  <c:v>3.4146534041807224E-2</c:v>
                </c:pt>
                <c:pt idx="31">
                  <c:v>2.5757262965053967E-2</c:v>
                </c:pt>
                <c:pt idx="32">
                  <c:v>1.8914339686098947E-2</c:v>
                </c:pt>
                <c:pt idx="33">
                  <c:v>1.3521380856960592E-2</c:v>
                </c:pt>
                <c:pt idx="34">
                  <c:v>9.4099929066763961E-3</c:v>
                </c:pt>
                <c:pt idx="35">
                  <c:v>6.3752311418874968E-3</c:v>
                </c:pt>
                <c:pt idx="36">
                  <c:v>4.2047575921415987E-3</c:v>
                </c:pt>
                <c:pt idx="37">
                  <c:v>2.6997551634069116E-3</c:v>
                </c:pt>
                <c:pt idx="38">
                  <c:v>1.6875093445688774E-3</c:v>
                </c:pt>
                <c:pt idx="39">
                  <c:v>1.0268485194972489E-3</c:v>
                </c:pt>
                <c:pt idx="40">
                  <c:v>6.0828199979132017E-4</c:v>
                </c:pt>
              </c:numCache>
            </c:numRef>
          </c:val>
        </c:ser>
        <c:hiLowLines/>
        <c:marker val="1"/>
        <c:axId val="194337792"/>
        <c:axId val="194344064"/>
      </c:lineChart>
      <c:catAx>
        <c:axId val="19433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94344064"/>
        <c:crosses val="autoZero"/>
        <c:auto val="1"/>
        <c:lblAlgn val="ctr"/>
        <c:lblOffset val="100"/>
      </c:catAx>
      <c:valAx>
        <c:axId val="1943440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確率</a:t>
                </a:r>
              </a:p>
            </c:rich>
          </c:tx>
        </c:title>
        <c:numFmt formatCode="General" sourceLinked="1"/>
        <c:tickLblPos val="nextTo"/>
        <c:crossAx val="194337792"/>
        <c:crosses val="autoZero"/>
        <c:crossBetween val="between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'３．最適在庫数を求める'!$L$22:$L$62</c:f>
              <c:numCache>
                <c:formatCode>General</c:formatCode>
                <c:ptCount val="41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10.5</c:v>
                </c:pt>
                <c:pt idx="12">
                  <c:v>11</c:v>
                </c:pt>
                <c:pt idx="13">
                  <c:v>11.5</c:v>
                </c:pt>
                <c:pt idx="14">
                  <c:v>12</c:v>
                </c:pt>
                <c:pt idx="15">
                  <c:v>12.5</c:v>
                </c:pt>
                <c:pt idx="16">
                  <c:v>13</c:v>
                </c:pt>
                <c:pt idx="17">
                  <c:v>13.5</c:v>
                </c:pt>
                <c:pt idx="18">
                  <c:v>14</c:v>
                </c:pt>
                <c:pt idx="19">
                  <c:v>14.5</c:v>
                </c:pt>
                <c:pt idx="20">
                  <c:v>15</c:v>
                </c:pt>
                <c:pt idx="21">
                  <c:v>15.5</c:v>
                </c:pt>
                <c:pt idx="22">
                  <c:v>16</c:v>
                </c:pt>
                <c:pt idx="23">
                  <c:v>16.5</c:v>
                </c:pt>
                <c:pt idx="24">
                  <c:v>17</c:v>
                </c:pt>
                <c:pt idx="25">
                  <c:v>17.5</c:v>
                </c:pt>
                <c:pt idx="26">
                  <c:v>18</c:v>
                </c:pt>
                <c:pt idx="27">
                  <c:v>18.5</c:v>
                </c:pt>
                <c:pt idx="28">
                  <c:v>19</c:v>
                </c:pt>
                <c:pt idx="29">
                  <c:v>19.5</c:v>
                </c:pt>
                <c:pt idx="30">
                  <c:v>20</c:v>
                </c:pt>
                <c:pt idx="31">
                  <c:v>20.5</c:v>
                </c:pt>
                <c:pt idx="32">
                  <c:v>21</c:v>
                </c:pt>
                <c:pt idx="33">
                  <c:v>21.5</c:v>
                </c:pt>
                <c:pt idx="34">
                  <c:v>22</c:v>
                </c:pt>
                <c:pt idx="35">
                  <c:v>22.5</c:v>
                </c:pt>
                <c:pt idx="36">
                  <c:v>23</c:v>
                </c:pt>
                <c:pt idx="37">
                  <c:v>23.5</c:v>
                </c:pt>
                <c:pt idx="38">
                  <c:v>24</c:v>
                </c:pt>
                <c:pt idx="39">
                  <c:v>24.5</c:v>
                </c:pt>
                <c:pt idx="40">
                  <c:v>25</c:v>
                </c:pt>
              </c:numCache>
            </c:numRef>
          </c:cat>
          <c:val>
            <c:numRef>
              <c:f>'３．最適在庫数を求める'!$P$22:$P$62</c:f>
              <c:numCache>
                <c:formatCode>General</c:formatCode>
                <c:ptCount val="41"/>
                <c:pt idx="0">
                  <c:v>6.0828199979132017E-4</c:v>
                </c:pt>
                <c:pt idx="1">
                  <c:v>1.0268485194972489E-3</c:v>
                </c:pt>
                <c:pt idx="2">
                  <c:v>1.6875093445688774E-3</c:v>
                </c:pt>
                <c:pt idx="3">
                  <c:v>2.6997551634069116E-3</c:v>
                </c:pt>
                <c:pt idx="4">
                  <c:v>4.2047575921415987E-3</c:v>
                </c:pt>
                <c:pt idx="5">
                  <c:v>6.3752311418874968E-3</c:v>
                </c:pt>
                <c:pt idx="6">
                  <c:v>9.4099929066763961E-3</c:v>
                </c:pt>
                <c:pt idx="7">
                  <c:v>1.3521380856960592E-2</c:v>
                </c:pt>
                <c:pt idx="8">
                  <c:v>1.8914339686098947E-2</c:v>
                </c:pt>
                <c:pt idx="9">
                  <c:v>2.5757262965053967E-2</c:v>
                </c:pt>
                <c:pt idx="10">
                  <c:v>3.4146534041807224E-2</c:v>
                </c:pt>
                <c:pt idx="11">
                  <c:v>4.4068871928982449E-2</c:v>
                </c:pt>
                <c:pt idx="12">
                  <c:v>5.5367590968898907E-2</c:v>
                </c:pt>
                <c:pt idx="13">
                  <c:v>6.7720118756348202E-2</c:v>
                </c:pt>
                <c:pt idx="14">
                  <c:v>8.0633996060642046E-2</c:v>
                </c:pt>
                <c:pt idx="15">
                  <c:v>9.3466728974468685E-2</c:v>
                </c:pt>
                <c:pt idx="16">
                  <c:v>0.10547129878331427</c:v>
                </c:pt>
                <c:pt idx="17">
                  <c:v>0.11586437753646385</c:v>
                </c:pt>
                <c:pt idx="18">
                  <c:v>0.12390931625899862</c:v>
                </c:pt>
                <c:pt idx="19">
                  <c:v>0.12900198029212484</c:v>
                </c:pt>
                <c:pt idx="20">
                  <c:v>0.13074563018921109</c:v>
                </c:pt>
                <c:pt idx="21">
                  <c:v>0.12900198029212484</c:v>
                </c:pt>
                <c:pt idx="22">
                  <c:v>0.12390931625899862</c:v>
                </c:pt>
                <c:pt idx="23">
                  <c:v>0.11586437753646385</c:v>
                </c:pt>
                <c:pt idx="24">
                  <c:v>0.10547129878331427</c:v>
                </c:pt>
                <c:pt idx="25">
                  <c:v>9.3466728974468685E-2</c:v>
                </c:pt>
                <c:pt idx="26">
                  <c:v>8.0633996060642046E-2</c:v>
                </c:pt>
                <c:pt idx="27">
                  <c:v>6.7720118756348202E-2</c:v>
                </c:pt>
                <c:pt idx="28">
                  <c:v>5.5367590968898907E-2</c:v>
                </c:pt>
                <c:pt idx="29">
                  <c:v>4.4068871928982449E-2</c:v>
                </c:pt>
                <c:pt idx="30">
                  <c:v>3.4146534041807224E-2</c:v>
                </c:pt>
                <c:pt idx="31">
                  <c:v>2.5757262965053967E-2</c:v>
                </c:pt>
                <c:pt idx="32">
                  <c:v>1.8914339686098947E-2</c:v>
                </c:pt>
                <c:pt idx="33">
                  <c:v>1.3521380856960592E-2</c:v>
                </c:pt>
                <c:pt idx="34">
                  <c:v>9.4099929066763961E-3</c:v>
                </c:pt>
                <c:pt idx="35">
                  <c:v>6.3752311418874968E-3</c:v>
                </c:pt>
                <c:pt idx="36">
                  <c:v>4.2047575921415987E-3</c:v>
                </c:pt>
                <c:pt idx="37">
                  <c:v>2.6997551634069116E-3</c:v>
                </c:pt>
                <c:pt idx="38">
                  <c:v>1.6875093445688774E-3</c:v>
                </c:pt>
                <c:pt idx="39">
                  <c:v>1.0268485194972489E-3</c:v>
                </c:pt>
                <c:pt idx="40">
                  <c:v>6.0828199979132017E-4</c:v>
                </c:pt>
              </c:numCache>
            </c:numRef>
          </c:val>
        </c:ser>
        <c:hiLowLines/>
        <c:marker val="1"/>
        <c:axId val="194381312"/>
        <c:axId val="194383232"/>
      </c:lineChart>
      <c:catAx>
        <c:axId val="194381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94383232"/>
        <c:crosses val="autoZero"/>
        <c:auto val="1"/>
        <c:lblAlgn val="ctr"/>
        <c:lblOffset val="100"/>
      </c:catAx>
      <c:valAx>
        <c:axId val="194383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確率</a:t>
                </a:r>
              </a:p>
            </c:rich>
          </c:tx>
        </c:title>
        <c:numFmt formatCode="General" sourceLinked="1"/>
        <c:tickLblPos val="nextTo"/>
        <c:crossAx val="194381312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'４．損益分岐点より価格設定する'!$C$6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strRef>
              <c:f>'４．損益分岐点より価格設定する'!$A$7:$A$18</c:f>
              <c:strCache>
                <c:ptCount val="12"/>
                <c:pt idx="0">
                  <c:v>1週目</c:v>
                </c:pt>
                <c:pt idx="1">
                  <c:v>2週目</c:v>
                </c:pt>
                <c:pt idx="2">
                  <c:v>3週目</c:v>
                </c:pt>
                <c:pt idx="3">
                  <c:v>4週目</c:v>
                </c:pt>
                <c:pt idx="4">
                  <c:v>5週目</c:v>
                </c:pt>
                <c:pt idx="5">
                  <c:v>6週目</c:v>
                </c:pt>
                <c:pt idx="6">
                  <c:v>7週目</c:v>
                </c:pt>
                <c:pt idx="7">
                  <c:v>8週目</c:v>
                </c:pt>
                <c:pt idx="8">
                  <c:v>9週目</c:v>
                </c:pt>
                <c:pt idx="9">
                  <c:v>10週目</c:v>
                </c:pt>
                <c:pt idx="10">
                  <c:v>11週目</c:v>
                </c:pt>
                <c:pt idx="11">
                  <c:v>12週目</c:v>
                </c:pt>
              </c:strCache>
            </c:strRef>
          </c:cat>
          <c:val>
            <c:numRef>
              <c:f>'４．損益分岐点より価格設定する'!$C$7:$C$18</c:f>
              <c:numCache>
                <c:formatCode>#,##0;[Red]\-#,##0</c:formatCode>
                <c:ptCount val="12"/>
                <c:pt idx="0">
                  <c:v>183333.33333333407</c:v>
                </c:pt>
                <c:pt idx="1">
                  <c:v>366666.66666666738</c:v>
                </c:pt>
                <c:pt idx="2">
                  <c:v>550000.0000000007</c:v>
                </c:pt>
                <c:pt idx="3">
                  <c:v>733333.33333333395</c:v>
                </c:pt>
                <c:pt idx="4">
                  <c:v>916666.66666666721</c:v>
                </c:pt>
                <c:pt idx="5">
                  <c:v>1100000.0000000005</c:v>
                </c:pt>
                <c:pt idx="6">
                  <c:v>1283333.3333333337</c:v>
                </c:pt>
                <c:pt idx="7">
                  <c:v>1466666.666666667</c:v>
                </c:pt>
                <c:pt idx="8">
                  <c:v>1650000.0000000002</c:v>
                </c:pt>
                <c:pt idx="9">
                  <c:v>1833333.3333333335</c:v>
                </c:pt>
                <c:pt idx="10">
                  <c:v>2016666.6666666667</c:v>
                </c:pt>
                <c:pt idx="11">
                  <c:v>2200000</c:v>
                </c:pt>
              </c:numCache>
            </c:numRef>
          </c:val>
        </c:ser>
        <c:ser>
          <c:idx val="1"/>
          <c:order val="1"/>
          <c:tx>
            <c:strRef>
              <c:f>'４．損益分岐点より価格設定する'!$D$6</c:f>
              <c:strCache>
                <c:ptCount val="1"/>
                <c:pt idx="0">
                  <c:v>経費</c:v>
                </c:pt>
              </c:strCache>
            </c:strRef>
          </c:tx>
          <c:marker>
            <c:symbol val="none"/>
          </c:marker>
          <c:cat>
            <c:strRef>
              <c:f>'４．損益分岐点より価格設定する'!$A$7:$A$18</c:f>
              <c:strCache>
                <c:ptCount val="12"/>
                <c:pt idx="0">
                  <c:v>1週目</c:v>
                </c:pt>
                <c:pt idx="1">
                  <c:v>2週目</c:v>
                </c:pt>
                <c:pt idx="2">
                  <c:v>3週目</c:v>
                </c:pt>
                <c:pt idx="3">
                  <c:v>4週目</c:v>
                </c:pt>
                <c:pt idx="4">
                  <c:v>5週目</c:v>
                </c:pt>
                <c:pt idx="5">
                  <c:v>6週目</c:v>
                </c:pt>
                <c:pt idx="6">
                  <c:v>7週目</c:v>
                </c:pt>
                <c:pt idx="7">
                  <c:v>8週目</c:v>
                </c:pt>
                <c:pt idx="8">
                  <c:v>9週目</c:v>
                </c:pt>
                <c:pt idx="9">
                  <c:v>10週目</c:v>
                </c:pt>
                <c:pt idx="10">
                  <c:v>11週目</c:v>
                </c:pt>
                <c:pt idx="11">
                  <c:v>12週目</c:v>
                </c:pt>
              </c:strCache>
            </c:strRef>
          </c:cat>
          <c:val>
            <c:numRef>
              <c:f>'４．損益分岐点より価格設定する'!$D$7:$D$18</c:f>
              <c:numCache>
                <c:formatCode>#,##0;[Red]\-#,##0</c:formatCode>
                <c:ptCount val="12"/>
                <c:pt idx="0">
                  <c:v>550000</c:v>
                </c:pt>
                <c:pt idx="1">
                  <c:v>700000</c:v>
                </c:pt>
                <c:pt idx="2">
                  <c:v>850000</c:v>
                </c:pt>
                <c:pt idx="3">
                  <c:v>1000000</c:v>
                </c:pt>
                <c:pt idx="4">
                  <c:v>1150000</c:v>
                </c:pt>
                <c:pt idx="5">
                  <c:v>1300000</c:v>
                </c:pt>
                <c:pt idx="6">
                  <c:v>1450000</c:v>
                </c:pt>
                <c:pt idx="7">
                  <c:v>1600000</c:v>
                </c:pt>
                <c:pt idx="8">
                  <c:v>1750000</c:v>
                </c:pt>
                <c:pt idx="9">
                  <c:v>1900000</c:v>
                </c:pt>
                <c:pt idx="10">
                  <c:v>2050000</c:v>
                </c:pt>
                <c:pt idx="11">
                  <c:v>2200000</c:v>
                </c:pt>
              </c:numCache>
            </c:numRef>
          </c:val>
        </c:ser>
        <c:ser>
          <c:idx val="2"/>
          <c:order val="2"/>
          <c:tx>
            <c:strRef>
              <c:f>'４．損益分岐点より価格設定する'!$E$6</c:f>
              <c:strCache>
                <c:ptCount val="1"/>
                <c:pt idx="0">
                  <c:v>固定費</c:v>
                </c:pt>
              </c:strCache>
            </c:strRef>
          </c:tx>
          <c:marker>
            <c:symbol val="none"/>
          </c:marker>
          <c:val>
            <c:numRef>
              <c:f>'４．損益分岐点より価格設定する'!$E$7:$E$18</c:f>
              <c:numCache>
                <c:formatCode>#,##0;[Red]\-#,##0</c:formatCode>
                <c:ptCount val="12"/>
                <c:pt idx="0">
                  <c:v>400000</c:v>
                </c:pt>
                <c:pt idx="1">
                  <c:v>400000</c:v>
                </c:pt>
                <c:pt idx="2">
                  <c:v>400000</c:v>
                </c:pt>
                <c:pt idx="3">
                  <c:v>400000</c:v>
                </c:pt>
                <c:pt idx="4">
                  <c:v>400000</c:v>
                </c:pt>
                <c:pt idx="5">
                  <c:v>400000</c:v>
                </c:pt>
                <c:pt idx="6">
                  <c:v>400000</c:v>
                </c:pt>
                <c:pt idx="7">
                  <c:v>400000</c:v>
                </c:pt>
                <c:pt idx="8">
                  <c:v>400000</c:v>
                </c:pt>
                <c:pt idx="9">
                  <c:v>400000</c:v>
                </c:pt>
                <c:pt idx="10">
                  <c:v>400000</c:v>
                </c:pt>
                <c:pt idx="11">
                  <c:v>400000</c:v>
                </c:pt>
              </c:numCache>
            </c:numRef>
          </c:val>
        </c:ser>
        <c:ser>
          <c:idx val="3"/>
          <c:order val="3"/>
          <c:tx>
            <c:strRef>
              <c:f>'４．損益分岐点より価格設定する'!$F$6</c:f>
              <c:strCache>
                <c:ptCount val="1"/>
                <c:pt idx="0">
                  <c:v>変動費</c:v>
                </c:pt>
              </c:strCache>
            </c:strRef>
          </c:tx>
          <c:marker>
            <c:symbol val="none"/>
          </c:marker>
          <c:val>
            <c:numRef>
              <c:f>'４．損益分岐点より価格設定する'!$F$7:$F$18</c:f>
              <c:numCache>
                <c:formatCode>#,##0;[Red]\-#,##0</c:formatCode>
                <c:ptCount val="12"/>
                <c:pt idx="0">
                  <c:v>150000</c:v>
                </c:pt>
                <c:pt idx="1">
                  <c:v>300000</c:v>
                </c:pt>
                <c:pt idx="2">
                  <c:v>450000</c:v>
                </c:pt>
                <c:pt idx="3">
                  <c:v>600000</c:v>
                </c:pt>
                <c:pt idx="4">
                  <c:v>750000</c:v>
                </c:pt>
                <c:pt idx="5">
                  <c:v>900000</c:v>
                </c:pt>
                <c:pt idx="6">
                  <c:v>1050000</c:v>
                </c:pt>
                <c:pt idx="7">
                  <c:v>1200000</c:v>
                </c:pt>
                <c:pt idx="8">
                  <c:v>1350000</c:v>
                </c:pt>
                <c:pt idx="9">
                  <c:v>1500000</c:v>
                </c:pt>
                <c:pt idx="10">
                  <c:v>1650000</c:v>
                </c:pt>
                <c:pt idx="11">
                  <c:v>1800000</c:v>
                </c:pt>
              </c:numCache>
            </c:numRef>
          </c:val>
        </c:ser>
        <c:marker val="1"/>
        <c:axId val="194504192"/>
        <c:axId val="194505728"/>
      </c:lineChart>
      <c:catAx>
        <c:axId val="194504192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194505728"/>
        <c:crosses val="autoZero"/>
        <c:auto val="1"/>
        <c:lblAlgn val="ctr"/>
        <c:lblOffset val="100"/>
      </c:catAx>
      <c:valAx>
        <c:axId val="194505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945041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'４．売価と売上数の関係から価格設定する'!$A$12:$A$41</c:f>
              <c:numCache>
                <c:formatCode>General</c:formatCode>
                <c:ptCount val="30"/>
                <c:pt idx="0">
                  <c:v>1150</c:v>
                </c:pt>
                <c:pt idx="1">
                  <c:v>1730</c:v>
                </c:pt>
                <c:pt idx="2">
                  <c:v>1950</c:v>
                </c:pt>
                <c:pt idx="3">
                  <c:v>2010</c:v>
                </c:pt>
                <c:pt idx="4">
                  <c:v>2140</c:v>
                </c:pt>
                <c:pt idx="5">
                  <c:v>2680</c:v>
                </c:pt>
                <c:pt idx="6">
                  <c:v>2540</c:v>
                </c:pt>
                <c:pt idx="7">
                  <c:v>2260</c:v>
                </c:pt>
                <c:pt idx="8">
                  <c:v>2700</c:v>
                </c:pt>
                <c:pt idx="9">
                  <c:v>2900</c:v>
                </c:pt>
                <c:pt idx="10">
                  <c:v>3100</c:v>
                </c:pt>
                <c:pt idx="11">
                  <c:v>3200</c:v>
                </c:pt>
                <c:pt idx="12">
                  <c:v>3500</c:v>
                </c:pt>
                <c:pt idx="13">
                  <c:v>3450</c:v>
                </c:pt>
                <c:pt idx="14">
                  <c:v>4200</c:v>
                </c:pt>
                <c:pt idx="15">
                  <c:v>7700</c:v>
                </c:pt>
                <c:pt idx="16">
                  <c:v>6200</c:v>
                </c:pt>
                <c:pt idx="17">
                  <c:v>8000</c:v>
                </c:pt>
                <c:pt idx="18">
                  <c:v>9500</c:v>
                </c:pt>
                <c:pt idx="19">
                  <c:v>11500</c:v>
                </c:pt>
                <c:pt idx="20">
                  <c:v>10000</c:v>
                </c:pt>
                <c:pt idx="21">
                  <c:v>15500</c:v>
                </c:pt>
                <c:pt idx="22">
                  <c:v>16000</c:v>
                </c:pt>
                <c:pt idx="23">
                  <c:v>17500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29500</c:v>
                </c:pt>
                <c:pt idx="28">
                  <c:v>27000</c:v>
                </c:pt>
                <c:pt idx="29">
                  <c:v>35000</c:v>
                </c:pt>
              </c:numCache>
            </c:numRef>
          </c:cat>
          <c:val>
            <c:numRef>
              <c:f>'４．売価と売上数の関係から価格設定する'!$D$12:$D$41</c:f>
              <c:numCache>
                <c:formatCode>General</c:formatCode>
                <c:ptCount val="30"/>
                <c:pt idx="0">
                  <c:v>9.0909090909090912E-2</c:v>
                </c:pt>
                <c:pt idx="1">
                  <c:v>5.5555555555555552E-2</c:v>
                </c:pt>
                <c:pt idx="2">
                  <c:v>0.04</c:v>
                </c:pt>
                <c:pt idx="3">
                  <c:v>2.7777777777777776E-2</c:v>
                </c:pt>
                <c:pt idx="4">
                  <c:v>2.9411764705882353E-2</c:v>
                </c:pt>
                <c:pt idx="5">
                  <c:v>3.0303030303030304E-2</c:v>
                </c:pt>
                <c:pt idx="6">
                  <c:v>3.0303030303030304E-2</c:v>
                </c:pt>
                <c:pt idx="7">
                  <c:v>3.0303030303030304E-2</c:v>
                </c:pt>
                <c:pt idx="8">
                  <c:v>3.125E-2</c:v>
                </c:pt>
                <c:pt idx="9">
                  <c:v>3.2258064516129031E-2</c:v>
                </c:pt>
                <c:pt idx="10">
                  <c:v>3.4482758620689655E-2</c:v>
                </c:pt>
                <c:pt idx="11">
                  <c:v>3.7037037037037035E-2</c:v>
                </c:pt>
                <c:pt idx="12">
                  <c:v>3.8461538461538464E-2</c:v>
                </c:pt>
                <c:pt idx="13">
                  <c:v>3.8461538461538464E-2</c:v>
                </c:pt>
                <c:pt idx="14">
                  <c:v>0.04</c:v>
                </c:pt>
                <c:pt idx="15">
                  <c:v>4.3478260869565216E-2</c:v>
                </c:pt>
                <c:pt idx="16">
                  <c:v>4.3478260869565216E-2</c:v>
                </c:pt>
                <c:pt idx="17">
                  <c:v>4.5454545454545456E-2</c:v>
                </c:pt>
                <c:pt idx="18">
                  <c:v>4.7619047619047616E-2</c:v>
                </c:pt>
                <c:pt idx="19">
                  <c:v>6.6666666666666666E-2</c:v>
                </c:pt>
                <c:pt idx="20">
                  <c:v>6.6666666666666666E-2</c:v>
                </c:pt>
                <c:pt idx="21">
                  <c:v>7.1428571428571425E-2</c:v>
                </c:pt>
                <c:pt idx="22">
                  <c:v>8.3333333333333329E-2</c:v>
                </c:pt>
                <c:pt idx="23">
                  <c:v>0.1</c:v>
                </c:pt>
                <c:pt idx="24">
                  <c:v>0.125</c:v>
                </c:pt>
                <c:pt idx="25">
                  <c:v>0.14285714285714285</c:v>
                </c:pt>
                <c:pt idx="26">
                  <c:v>0.2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0.5</c:v>
                </c:pt>
              </c:numCache>
            </c:numRef>
          </c:val>
        </c:ser>
        <c:hiLowLines/>
        <c:marker val="1"/>
        <c:axId val="194559360"/>
        <c:axId val="194577920"/>
      </c:lineChart>
      <c:catAx>
        <c:axId val="1945593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売価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94577920"/>
        <c:crosses val="autoZero"/>
        <c:auto val="1"/>
        <c:lblAlgn val="ctr"/>
        <c:lblOffset val="100"/>
      </c:catAx>
      <c:valAx>
        <c:axId val="19457792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逆数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tickLblPos val="nextTo"/>
        <c:crossAx val="194559360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'４．売価と売上数の関係から価格設定する'!$A$12:$A$41</c:f>
              <c:numCache>
                <c:formatCode>General</c:formatCode>
                <c:ptCount val="30"/>
                <c:pt idx="0">
                  <c:v>1150</c:v>
                </c:pt>
                <c:pt idx="1">
                  <c:v>1730</c:v>
                </c:pt>
                <c:pt idx="2">
                  <c:v>1950</c:v>
                </c:pt>
                <c:pt idx="3">
                  <c:v>2010</c:v>
                </c:pt>
                <c:pt idx="4">
                  <c:v>2140</c:v>
                </c:pt>
                <c:pt idx="5">
                  <c:v>2680</c:v>
                </c:pt>
                <c:pt idx="6">
                  <c:v>2540</c:v>
                </c:pt>
                <c:pt idx="7">
                  <c:v>2260</c:v>
                </c:pt>
                <c:pt idx="8">
                  <c:v>2700</c:v>
                </c:pt>
                <c:pt idx="9">
                  <c:v>2900</c:v>
                </c:pt>
                <c:pt idx="10">
                  <c:v>3100</c:v>
                </c:pt>
                <c:pt idx="11">
                  <c:v>3200</c:v>
                </c:pt>
                <c:pt idx="12">
                  <c:v>3500</c:v>
                </c:pt>
                <c:pt idx="13">
                  <c:v>3450</c:v>
                </c:pt>
                <c:pt idx="14">
                  <c:v>4200</c:v>
                </c:pt>
                <c:pt idx="15">
                  <c:v>7700</c:v>
                </c:pt>
                <c:pt idx="16">
                  <c:v>6200</c:v>
                </c:pt>
                <c:pt idx="17">
                  <c:v>8000</c:v>
                </c:pt>
                <c:pt idx="18">
                  <c:v>9500</c:v>
                </c:pt>
                <c:pt idx="19">
                  <c:v>11500</c:v>
                </c:pt>
                <c:pt idx="20">
                  <c:v>10000</c:v>
                </c:pt>
                <c:pt idx="21">
                  <c:v>15500</c:v>
                </c:pt>
                <c:pt idx="22">
                  <c:v>16000</c:v>
                </c:pt>
                <c:pt idx="23">
                  <c:v>17500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29500</c:v>
                </c:pt>
                <c:pt idx="28">
                  <c:v>27000</c:v>
                </c:pt>
                <c:pt idx="29">
                  <c:v>35000</c:v>
                </c:pt>
              </c:numCache>
            </c:numRef>
          </c:cat>
          <c:val>
            <c:numRef>
              <c:f>'４．売価と売上数の関係から価格設定する'!$E$12:$E$41</c:f>
              <c:numCache>
                <c:formatCode>General</c:formatCode>
                <c:ptCount val="30"/>
                <c:pt idx="0">
                  <c:v>2.1646194659797242E-2</c:v>
                </c:pt>
                <c:pt idx="1">
                  <c:v>2.4471655786154154E-2</c:v>
                </c:pt>
                <c:pt idx="2">
                  <c:v>2.5543382420289536E-2</c:v>
                </c:pt>
                <c:pt idx="3">
                  <c:v>2.5835671502326456E-2</c:v>
                </c:pt>
                <c:pt idx="4">
                  <c:v>2.6468964513406454E-2</c:v>
                </c:pt>
                <c:pt idx="5">
                  <c:v>2.9099566251738752E-2</c:v>
                </c:pt>
                <c:pt idx="6">
                  <c:v>2.8417558393652599E-2</c:v>
                </c:pt>
                <c:pt idx="7">
                  <c:v>2.7053542677480301E-2</c:v>
                </c:pt>
                <c:pt idx="8">
                  <c:v>2.9196995945751057E-2</c:v>
                </c:pt>
                <c:pt idx="9">
                  <c:v>3.0171292885874133E-2</c:v>
                </c:pt>
                <c:pt idx="10">
                  <c:v>3.1145589825997206E-2</c:v>
                </c:pt>
                <c:pt idx="11">
                  <c:v>3.1632738296058741E-2</c:v>
                </c:pt>
                <c:pt idx="12">
                  <c:v>3.3094183706243355E-2</c:v>
                </c:pt>
                <c:pt idx="13">
                  <c:v>3.2850609471212586E-2</c:v>
                </c:pt>
                <c:pt idx="14">
                  <c:v>3.6504222996674107E-2</c:v>
                </c:pt>
                <c:pt idx="15">
                  <c:v>5.355441944882789E-2</c:v>
                </c:pt>
                <c:pt idx="16">
                  <c:v>4.624719239790484E-2</c:v>
                </c:pt>
                <c:pt idx="17">
                  <c:v>5.5015864859012498E-2</c:v>
                </c:pt>
                <c:pt idx="18">
                  <c:v>6.2323091909935548E-2</c:v>
                </c:pt>
                <c:pt idx="19">
                  <c:v>7.2066061311166274E-2</c:v>
                </c:pt>
                <c:pt idx="20">
                  <c:v>6.4758834260243231E-2</c:v>
                </c:pt>
                <c:pt idx="21">
                  <c:v>9.1552000113627741E-2</c:v>
                </c:pt>
                <c:pt idx="22">
                  <c:v>9.3987742463935431E-2</c:v>
                </c:pt>
                <c:pt idx="23">
                  <c:v>0.10129496951485847</c:v>
                </c:pt>
                <c:pt idx="24">
                  <c:v>0.1134736812663969</c:v>
                </c:pt>
                <c:pt idx="25">
                  <c:v>0.11834516596701225</c:v>
                </c:pt>
                <c:pt idx="26">
                  <c:v>0.12321665066762763</c:v>
                </c:pt>
                <c:pt idx="27">
                  <c:v>0.15975278592224285</c:v>
                </c:pt>
                <c:pt idx="28">
                  <c:v>0.14757407417070445</c:v>
                </c:pt>
                <c:pt idx="29">
                  <c:v>0.18654595177562738</c:v>
                </c:pt>
              </c:numCache>
            </c:numRef>
          </c:val>
        </c:ser>
        <c:hiLowLines/>
        <c:marker val="1"/>
        <c:axId val="194585728"/>
        <c:axId val="194587648"/>
      </c:lineChart>
      <c:catAx>
        <c:axId val="19458572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売価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94587648"/>
        <c:crosses val="autoZero"/>
        <c:auto val="1"/>
        <c:lblAlgn val="ctr"/>
        <c:lblOffset val="100"/>
      </c:catAx>
      <c:valAx>
        <c:axId val="19458764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逆数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tickLblPos val="nextTo"/>
        <c:crossAx val="194585728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'４．売価と売上数の関係から価格設定する'!$A$12:$A$41</c:f>
              <c:numCache>
                <c:formatCode>General</c:formatCode>
                <c:ptCount val="30"/>
                <c:pt idx="0">
                  <c:v>1150</c:v>
                </c:pt>
                <c:pt idx="1">
                  <c:v>1730</c:v>
                </c:pt>
                <c:pt idx="2">
                  <c:v>1950</c:v>
                </c:pt>
                <c:pt idx="3">
                  <c:v>2010</c:v>
                </c:pt>
                <c:pt idx="4">
                  <c:v>2140</c:v>
                </c:pt>
                <c:pt idx="5">
                  <c:v>2680</c:v>
                </c:pt>
                <c:pt idx="6">
                  <c:v>2540</c:v>
                </c:pt>
                <c:pt idx="7">
                  <c:v>2260</c:v>
                </c:pt>
                <c:pt idx="8">
                  <c:v>2700</c:v>
                </c:pt>
                <c:pt idx="9">
                  <c:v>2900</c:v>
                </c:pt>
                <c:pt idx="10">
                  <c:v>3100</c:v>
                </c:pt>
                <c:pt idx="11">
                  <c:v>3200</c:v>
                </c:pt>
                <c:pt idx="12">
                  <c:v>3500</c:v>
                </c:pt>
                <c:pt idx="13">
                  <c:v>3450</c:v>
                </c:pt>
                <c:pt idx="14">
                  <c:v>4200</c:v>
                </c:pt>
                <c:pt idx="15">
                  <c:v>7700</c:v>
                </c:pt>
                <c:pt idx="16">
                  <c:v>6200</c:v>
                </c:pt>
                <c:pt idx="17">
                  <c:v>8000</c:v>
                </c:pt>
                <c:pt idx="18">
                  <c:v>9500</c:v>
                </c:pt>
                <c:pt idx="19">
                  <c:v>11500</c:v>
                </c:pt>
                <c:pt idx="20">
                  <c:v>10000</c:v>
                </c:pt>
                <c:pt idx="21">
                  <c:v>15500</c:v>
                </c:pt>
                <c:pt idx="22">
                  <c:v>16000</c:v>
                </c:pt>
                <c:pt idx="23">
                  <c:v>17500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29500</c:v>
                </c:pt>
                <c:pt idx="28">
                  <c:v>27000</c:v>
                </c:pt>
                <c:pt idx="29">
                  <c:v>35000</c:v>
                </c:pt>
              </c:numCache>
            </c:numRef>
          </c:cat>
          <c:val>
            <c:numRef>
              <c:f>'４．売価と売上数の関係から価格設定する'!$F$12:$F$41</c:f>
              <c:numCache>
                <c:formatCode>General</c:formatCode>
                <c:ptCount val="30"/>
                <c:pt idx="0">
                  <c:v>41.197496406020349</c:v>
                </c:pt>
                <c:pt idx="1">
                  <c:v>35.863601904934896</c:v>
                </c:pt>
                <c:pt idx="2">
                  <c:v>34.149083059794123</c:v>
                </c:pt>
                <c:pt idx="3">
                  <c:v>33.70617413253423</c:v>
                </c:pt>
                <c:pt idx="4">
                  <c:v>32.780095231662834</c:v>
                </c:pt>
                <c:pt idx="5">
                  <c:v>29.364773390402277</c:v>
                </c:pt>
                <c:pt idx="6">
                  <c:v>30.189511574061264</c:v>
                </c:pt>
                <c:pt idx="7">
                  <c:v>31.963735652721454</c:v>
                </c:pt>
                <c:pt idx="8">
                  <c:v>29.250098943673237</c:v>
                </c:pt>
                <c:pt idx="9">
                  <c:v>28.144088448002471</c:v>
                </c:pt>
                <c:pt idx="10">
                  <c:v>27.107274435538237</c:v>
                </c:pt>
                <c:pt idx="11">
                  <c:v>26.612818044418063</c:v>
                </c:pt>
                <c:pt idx="12">
                  <c:v>25.216790021968297</c:v>
                </c:pt>
                <c:pt idx="13">
                  <c:v>25.440835530808428</c:v>
                </c:pt>
                <c:pt idx="14">
                  <c:v>22.394090817687307</c:v>
                </c:pt>
                <c:pt idx="15">
                  <c:v>13.672595283299003</c:v>
                </c:pt>
                <c:pt idx="16">
                  <c:v>16.622934239902172</c:v>
                </c:pt>
                <c:pt idx="17">
                  <c:v>13.176575112700124</c:v>
                </c:pt>
                <c:pt idx="18">
                  <c:v>11.04541702528369</c:v>
                </c:pt>
                <c:pt idx="19">
                  <c:v>8.8761572619073466</c:v>
                </c:pt>
                <c:pt idx="20">
                  <c:v>10.441908604798966</c:v>
                </c:pt>
                <c:pt idx="21">
                  <c:v>5.9227542681631427</c:v>
                </c:pt>
                <c:pt idx="22">
                  <c:v>5.6396852800642137</c:v>
                </c:pt>
                <c:pt idx="23">
                  <c:v>4.8721585562382224</c:v>
                </c:pt>
                <c:pt idx="24">
                  <c:v>3.8126161841206727</c:v>
                </c:pt>
                <c:pt idx="25">
                  <c:v>3.4498592893835802</c:v>
                </c:pt>
                <c:pt idx="26">
                  <c:v>3.1157862560106686</c:v>
                </c:pt>
                <c:pt idx="27">
                  <c:v>1.2596717436072398</c:v>
                </c:pt>
                <c:pt idx="28">
                  <c:v>1.7762579953119859</c:v>
                </c:pt>
                <c:pt idx="29">
                  <c:v>0.36060949316538338</c:v>
                </c:pt>
              </c:numCache>
            </c:numRef>
          </c:val>
        </c:ser>
        <c:hiLowLines/>
        <c:marker val="1"/>
        <c:axId val="194620032"/>
        <c:axId val="194626304"/>
      </c:lineChart>
      <c:catAx>
        <c:axId val="19462003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売価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94626304"/>
        <c:crosses val="autoZero"/>
        <c:auto val="1"/>
        <c:lblAlgn val="ctr"/>
        <c:lblOffset val="100"/>
      </c:catAx>
      <c:valAx>
        <c:axId val="194626304"/>
        <c:scaling>
          <c:orientation val="minMax"/>
          <c:max val="5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tickLblPos val="nextTo"/>
        <c:crossAx val="194620032"/>
        <c:crosses val="autoZero"/>
        <c:crossBetween val="midCat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'４．売価と売上数の関係から価格設定する'!$A$12:$A$41</c:f>
              <c:numCache>
                <c:formatCode>General</c:formatCode>
                <c:ptCount val="30"/>
                <c:pt idx="0">
                  <c:v>1150</c:v>
                </c:pt>
                <c:pt idx="1">
                  <c:v>1730</c:v>
                </c:pt>
                <c:pt idx="2">
                  <c:v>1950</c:v>
                </c:pt>
                <c:pt idx="3">
                  <c:v>2010</c:v>
                </c:pt>
                <c:pt idx="4">
                  <c:v>2140</c:v>
                </c:pt>
                <c:pt idx="5">
                  <c:v>2680</c:v>
                </c:pt>
                <c:pt idx="6">
                  <c:v>2540</c:v>
                </c:pt>
                <c:pt idx="7">
                  <c:v>2260</c:v>
                </c:pt>
                <c:pt idx="8">
                  <c:v>2700</c:v>
                </c:pt>
                <c:pt idx="9">
                  <c:v>2900</c:v>
                </c:pt>
                <c:pt idx="10">
                  <c:v>3100</c:v>
                </c:pt>
                <c:pt idx="11">
                  <c:v>3200</c:v>
                </c:pt>
                <c:pt idx="12">
                  <c:v>3500</c:v>
                </c:pt>
                <c:pt idx="13">
                  <c:v>3450</c:v>
                </c:pt>
                <c:pt idx="14">
                  <c:v>4200</c:v>
                </c:pt>
                <c:pt idx="15">
                  <c:v>7700</c:v>
                </c:pt>
                <c:pt idx="16">
                  <c:v>6200</c:v>
                </c:pt>
                <c:pt idx="17">
                  <c:v>8000</c:v>
                </c:pt>
                <c:pt idx="18">
                  <c:v>9500</c:v>
                </c:pt>
                <c:pt idx="19">
                  <c:v>11500</c:v>
                </c:pt>
                <c:pt idx="20">
                  <c:v>10000</c:v>
                </c:pt>
                <c:pt idx="21">
                  <c:v>15500</c:v>
                </c:pt>
                <c:pt idx="22">
                  <c:v>16000</c:v>
                </c:pt>
                <c:pt idx="23">
                  <c:v>17500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29500</c:v>
                </c:pt>
                <c:pt idx="28">
                  <c:v>27000</c:v>
                </c:pt>
                <c:pt idx="29">
                  <c:v>35000</c:v>
                </c:pt>
              </c:numCache>
            </c:numRef>
          </c:cat>
          <c:val>
            <c:numRef>
              <c:f>'４．売価と売上数の関係から価格設定する'!$B$12:$B$41</c:f>
              <c:numCache>
                <c:formatCode>General</c:formatCode>
                <c:ptCount val="30"/>
                <c:pt idx="0">
                  <c:v>11</c:v>
                </c:pt>
                <c:pt idx="1">
                  <c:v>18</c:v>
                </c:pt>
                <c:pt idx="2">
                  <c:v>25</c:v>
                </c:pt>
                <c:pt idx="3">
                  <c:v>36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32</c:v>
                </c:pt>
                <c:pt idx="9">
                  <c:v>31</c:v>
                </c:pt>
                <c:pt idx="10">
                  <c:v>29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25</c:v>
                </c:pt>
                <c:pt idx="15">
                  <c:v>23</c:v>
                </c:pt>
                <c:pt idx="16">
                  <c:v>23</c:v>
                </c:pt>
                <c:pt idx="17">
                  <c:v>22</c:v>
                </c:pt>
                <c:pt idx="18">
                  <c:v>21</c:v>
                </c:pt>
                <c:pt idx="19">
                  <c:v>15</c:v>
                </c:pt>
                <c:pt idx="20">
                  <c:v>15</c:v>
                </c:pt>
                <c:pt idx="21">
                  <c:v>14</c:v>
                </c:pt>
                <c:pt idx="22">
                  <c:v>12</c:v>
                </c:pt>
                <c:pt idx="23">
                  <c:v>10</c:v>
                </c:pt>
                <c:pt idx="24">
                  <c:v>8</c:v>
                </c:pt>
                <c:pt idx="25">
                  <c:v>7</c:v>
                </c:pt>
                <c:pt idx="26">
                  <c:v>5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</c:numCache>
            </c:numRef>
          </c:val>
        </c:ser>
        <c:hiLowLines/>
        <c:marker val="1"/>
        <c:axId val="194658688"/>
        <c:axId val="194660608"/>
      </c:lineChart>
      <c:catAx>
        <c:axId val="1946586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売価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94660608"/>
        <c:crosses val="autoZero"/>
        <c:auto val="1"/>
        <c:lblAlgn val="ctr"/>
        <c:lblOffset val="100"/>
      </c:catAx>
      <c:valAx>
        <c:axId val="194660608"/>
        <c:scaling>
          <c:orientation val="minMax"/>
          <c:max val="5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tickLblPos val="nextTo"/>
        <c:crossAx val="194658688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'４．売価と売上数の関係から価格設定する'!$A$12:$A$41</c:f>
              <c:numCache>
                <c:formatCode>General</c:formatCode>
                <c:ptCount val="30"/>
                <c:pt idx="0">
                  <c:v>1150</c:v>
                </c:pt>
                <c:pt idx="1">
                  <c:v>1730</c:v>
                </c:pt>
                <c:pt idx="2">
                  <c:v>1950</c:v>
                </c:pt>
                <c:pt idx="3">
                  <c:v>2010</c:v>
                </c:pt>
                <c:pt idx="4">
                  <c:v>2140</c:v>
                </c:pt>
                <c:pt idx="5">
                  <c:v>2680</c:v>
                </c:pt>
                <c:pt idx="6">
                  <c:v>2540</c:v>
                </c:pt>
                <c:pt idx="7">
                  <c:v>2260</c:v>
                </c:pt>
                <c:pt idx="8">
                  <c:v>2700</c:v>
                </c:pt>
                <c:pt idx="9">
                  <c:v>2900</c:v>
                </c:pt>
                <c:pt idx="10">
                  <c:v>3100</c:v>
                </c:pt>
                <c:pt idx="11">
                  <c:v>3200</c:v>
                </c:pt>
                <c:pt idx="12">
                  <c:v>3500</c:v>
                </c:pt>
                <c:pt idx="13">
                  <c:v>3450</c:v>
                </c:pt>
                <c:pt idx="14">
                  <c:v>4200</c:v>
                </c:pt>
                <c:pt idx="15">
                  <c:v>7700</c:v>
                </c:pt>
                <c:pt idx="16">
                  <c:v>6200</c:v>
                </c:pt>
                <c:pt idx="17">
                  <c:v>8000</c:v>
                </c:pt>
                <c:pt idx="18">
                  <c:v>9500</c:v>
                </c:pt>
                <c:pt idx="19">
                  <c:v>11500</c:v>
                </c:pt>
                <c:pt idx="20">
                  <c:v>10000</c:v>
                </c:pt>
                <c:pt idx="21">
                  <c:v>15500</c:v>
                </c:pt>
                <c:pt idx="22">
                  <c:v>16000</c:v>
                </c:pt>
                <c:pt idx="23">
                  <c:v>17500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29500</c:v>
                </c:pt>
                <c:pt idx="28">
                  <c:v>27000</c:v>
                </c:pt>
                <c:pt idx="29">
                  <c:v>35000</c:v>
                </c:pt>
              </c:numCache>
            </c:numRef>
          </c:cat>
          <c:val>
            <c:numRef>
              <c:f>'４．売価と売上数の関係から価格設定する'!$C$12:$C$41</c:f>
              <c:numCache>
                <c:formatCode>General</c:formatCode>
                <c:ptCount val="30"/>
                <c:pt idx="0">
                  <c:v>12650</c:v>
                </c:pt>
                <c:pt idx="1">
                  <c:v>31140</c:v>
                </c:pt>
                <c:pt idx="2">
                  <c:v>48750</c:v>
                </c:pt>
                <c:pt idx="3">
                  <c:v>72360</c:v>
                </c:pt>
                <c:pt idx="4">
                  <c:v>72760</c:v>
                </c:pt>
                <c:pt idx="5">
                  <c:v>88440</c:v>
                </c:pt>
                <c:pt idx="6">
                  <c:v>83820</c:v>
                </c:pt>
                <c:pt idx="7">
                  <c:v>74580</c:v>
                </c:pt>
                <c:pt idx="8">
                  <c:v>86400</c:v>
                </c:pt>
                <c:pt idx="9">
                  <c:v>89900</c:v>
                </c:pt>
                <c:pt idx="10">
                  <c:v>89900</c:v>
                </c:pt>
                <c:pt idx="11">
                  <c:v>86400</c:v>
                </c:pt>
                <c:pt idx="12">
                  <c:v>91000</c:v>
                </c:pt>
                <c:pt idx="13">
                  <c:v>89700</c:v>
                </c:pt>
                <c:pt idx="14">
                  <c:v>105000</c:v>
                </c:pt>
                <c:pt idx="15">
                  <c:v>177100</c:v>
                </c:pt>
                <c:pt idx="16">
                  <c:v>142600</c:v>
                </c:pt>
                <c:pt idx="17">
                  <c:v>176000</c:v>
                </c:pt>
                <c:pt idx="18">
                  <c:v>199500</c:v>
                </c:pt>
                <c:pt idx="19">
                  <c:v>172500</c:v>
                </c:pt>
                <c:pt idx="20">
                  <c:v>150000</c:v>
                </c:pt>
                <c:pt idx="21">
                  <c:v>217000</c:v>
                </c:pt>
                <c:pt idx="22">
                  <c:v>192000</c:v>
                </c:pt>
                <c:pt idx="23">
                  <c:v>175000</c:v>
                </c:pt>
                <c:pt idx="24">
                  <c:v>160000</c:v>
                </c:pt>
                <c:pt idx="25">
                  <c:v>147000</c:v>
                </c:pt>
                <c:pt idx="26">
                  <c:v>110000</c:v>
                </c:pt>
                <c:pt idx="27">
                  <c:v>88500</c:v>
                </c:pt>
                <c:pt idx="28">
                  <c:v>81000</c:v>
                </c:pt>
                <c:pt idx="29">
                  <c:v>70000</c:v>
                </c:pt>
              </c:numCache>
            </c:numRef>
          </c:val>
        </c:ser>
        <c:hiLowLines/>
        <c:marker val="1"/>
        <c:axId val="194676608"/>
        <c:axId val="134086656"/>
      </c:lineChart>
      <c:catAx>
        <c:axId val="19467660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売価（円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34086656"/>
        <c:crosses val="autoZero"/>
        <c:auto val="1"/>
        <c:lblAlgn val="ctr"/>
        <c:lblOffset val="100"/>
      </c:catAx>
      <c:valAx>
        <c:axId val="134086656"/>
        <c:scaling>
          <c:orientation val="minMax"/>
          <c:max val="2500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tickLblPos val="nextTo"/>
        <c:crossAx val="194676608"/>
        <c:crosses val="autoZero"/>
        <c:crossBetween val="midCat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'４．売価と売上数の関係から価格設定する'!$A$12:$A$41</c:f>
              <c:numCache>
                <c:formatCode>General</c:formatCode>
                <c:ptCount val="30"/>
                <c:pt idx="0">
                  <c:v>1150</c:v>
                </c:pt>
                <c:pt idx="1">
                  <c:v>1730</c:v>
                </c:pt>
                <c:pt idx="2">
                  <c:v>1950</c:v>
                </c:pt>
                <c:pt idx="3">
                  <c:v>2010</c:v>
                </c:pt>
                <c:pt idx="4">
                  <c:v>2140</c:v>
                </c:pt>
                <c:pt idx="5">
                  <c:v>2680</c:v>
                </c:pt>
                <c:pt idx="6">
                  <c:v>2540</c:v>
                </c:pt>
                <c:pt idx="7">
                  <c:v>2260</c:v>
                </c:pt>
                <c:pt idx="8">
                  <c:v>2700</c:v>
                </c:pt>
                <c:pt idx="9">
                  <c:v>2900</c:v>
                </c:pt>
                <c:pt idx="10">
                  <c:v>3100</c:v>
                </c:pt>
                <c:pt idx="11">
                  <c:v>3200</c:v>
                </c:pt>
                <c:pt idx="12">
                  <c:v>3500</c:v>
                </c:pt>
                <c:pt idx="13">
                  <c:v>3450</c:v>
                </c:pt>
                <c:pt idx="14">
                  <c:v>4200</c:v>
                </c:pt>
                <c:pt idx="15">
                  <c:v>7700</c:v>
                </c:pt>
                <c:pt idx="16">
                  <c:v>6200</c:v>
                </c:pt>
                <c:pt idx="17">
                  <c:v>8000</c:v>
                </c:pt>
                <c:pt idx="18">
                  <c:v>9500</c:v>
                </c:pt>
                <c:pt idx="19">
                  <c:v>11500</c:v>
                </c:pt>
                <c:pt idx="20">
                  <c:v>10000</c:v>
                </c:pt>
                <c:pt idx="21">
                  <c:v>15500</c:v>
                </c:pt>
                <c:pt idx="22">
                  <c:v>16000</c:v>
                </c:pt>
                <c:pt idx="23">
                  <c:v>17500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29500</c:v>
                </c:pt>
                <c:pt idx="28">
                  <c:v>27000</c:v>
                </c:pt>
                <c:pt idx="29">
                  <c:v>35000</c:v>
                </c:pt>
              </c:numCache>
            </c:numRef>
          </c:cat>
          <c:val>
            <c:numRef>
              <c:f>'４．売価と売上数の関係から価格設定する'!$G$12:$G$41</c:f>
              <c:numCache>
                <c:formatCode>General</c:formatCode>
                <c:ptCount val="30"/>
                <c:pt idx="0">
                  <c:v>47377.120866923404</c:v>
                </c:pt>
                <c:pt idx="1">
                  <c:v>62044.031295537367</c:v>
                </c:pt>
                <c:pt idx="2">
                  <c:v>66590.711966598537</c:v>
                </c:pt>
                <c:pt idx="3">
                  <c:v>67749.410006393795</c:v>
                </c:pt>
                <c:pt idx="4">
                  <c:v>70149.403795758466</c:v>
                </c:pt>
                <c:pt idx="5">
                  <c:v>78697.592686278105</c:v>
                </c:pt>
                <c:pt idx="6">
                  <c:v>76681.359398115615</c:v>
                </c:pt>
                <c:pt idx="7">
                  <c:v>72238.042575150481</c:v>
                </c:pt>
                <c:pt idx="8">
                  <c:v>78975.267147917737</c:v>
                </c:pt>
                <c:pt idx="9">
                  <c:v>81617.856499207162</c:v>
                </c:pt>
                <c:pt idx="10">
                  <c:v>84032.550750168535</c:v>
                </c:pt>
                <c:pt idx="11">
                  <c:v>85161.017742137803</c:v>
                </c:pt>
                <c:pt idx="12">
                  <c:v>88258.765076889045</c:v>
                </c:pt>
                <c:pt idx="13">
                  <c:v>87770.882581289072</c:v>
                </c:pt>
                <c:pt idx="14">
                  <c:v>94055.181434286686</c:v>
                </c:pt>
                <c:pt idx="15">
                  <c:v>105278.98368140233</c:v>
                </c:pt>
                <c:pt idx="16">
                  <c:v>103062.19228739347</c:v>
                </c:pt>
                <c:pt idx="17">
                  <c:v>105412.60090160099</c:v>
                </c:pt>
                <c:pt idx="18">
                  <c:v>104931.46174019505</c:v>
                </c:pt>
                <c:pt idx="19">
                  <c:v>102075.80851193449</c:v>
                </c:pt>
                <c:pt idx="20">
                  <c:v>104419.08604798967</c:v>
                </c:pt>
                <c:pt idx="21">
                  <c:v>91802.691156528716</c:v>
                </c:pt>
                <c:pt idx="22">
                  <c:v>90234.964481027419</c:v>
                </c:pt>
                <c:pt idx="23">
                  <c:v>85262.774734168896</c:v>
                </c:pt>
                <c:pt idx="24">
                  <c:v>76252.323682413451</c:v>
                </c:pt>
                <c:pt idx="25">
                  <c:v>72447.045077055183</c:v>
                </c:pt>
                <c:pt idx="26">
                  <c:v>68547.297632234709</c:v>
                </c:pt>
                <c:pt idx="27">
                  <c:v>37160.316436413574</c:v>
                </c:pt>
                <c:pt idx="28">
                  <c:v>47958.965873423622</c:v>
                </c:pt>
                <c:pt idx="29">
                  <c:v>12621.332260788418</c:v>
                </c:pt>
              </c:numCache>
            </c:numRef>
          </c:val>
        </c:ser>
        <c:hiLowLines/>
        <c:marker val="1"/>
        <c:axId val="134114688"/>
        <c:axId val="134133248"/>
      </c:lineChart>
      <c:catAx>
        <c:axId val="1341146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売価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34133248"/>
        <c:crosses val="autoZero"/>
        <c:auto val="1"/>
        <c:lblAlgn val="ctr"/>
        <c:lblOffset val="100"/>
      </c:catAx>
      <c:valAx>
        <c:axId val="134133248"/>
        <c:scaling>
          <c:orientation val="minMax"/>
          <c:max val="2500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tickLblPos val="nextTo"/>
        <c:crossAx val="134114688"/>
        <c:crosses val="autoZero"/>
        <c:crossBetween val="midCat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'４．売価と売上数の関係から価格設定する'!$AE$12:$AE$41</c:f>
              <c:numCache>
                <c:formatCode>General</c:formatCode>
                <c:ptCount val="30"/>
                <c:pt idx="0">
                  <c:v>0</c:v>
                </c:pt>
                <c:pt idx="1">
                  <c:v>1250</c:v>
                </c:pt>
                <c:pt idx="2">
                  <c:v>2500</c:v>
                </c:pt>
                <c:pt idx="3">
                  <c:v>3750</c:v>
                </c:pt>
                <c:pt idx="4">
                  <c:v>5000</c:v>
                </c:pt>
                <c:pt idx="5">
                  <c:v>6250</c:v>
                </c:pt>
                <c:pt idx="6">
                  <c:v>7500</c:v>
                </c:pt>
                <c:pt idx="7">
                  <c:v>8750</c:v>
                </c:pt>
                <c:pt idx="8">
                  <c:v>10000</c:v>
                </c:pt>
                <c:pt idx="9">
                  <c:v>11250</c:v>
                </c:pt>
                <c:pt idx="10">
                  <c:v>12500</c:v>
                </c:pt>
                <c:pt idx="11">
                  <c:v>13750</c:v>
                </c:pt>
                <c:pt idx="12">
                  <c:v>15000</c:v>
                </c:pt>
                <c:pt idx="13">
                  <c:v>16250</c:v>
                </c:pt>
                <c:pt idx="14">
                  <c:v>17500</c:v>
                </c:pt>
                <c:pt idx="15">
                  <c:v>18750</c:v>
                </c:pt>
                <c:pt idx="16">
                  <c:v>20000</c:v>
                </c:pt>
                <c:pt idx="17">
                  <c:v>21250</c:v>
                </c:pt>
                <c:pt idx="18">
                  <c:v>22500</c:v>
                </c:pt>
                <c:pt idx="19">
                  <c:v>23750</c:v>
                </c:pt>
                <c:pt idx="20">
                  <c:v>25000</c:v>
                </c:pt>
                <c:pt idx="21">
                  <c:v>26250</c:v>
                </c:pt>
                <c:pt idx="22">
                  <c:v>27500</c:v>
                </c:pt>
                <c:pt idx="23">
                  <c:v>28750</c:v>
                </c:pt>
                <c:pt idx="24">
                  <c:v>30000</c:v>
                </c:pt>
                <c:pt idx="25">
                  <c:v>31250</c:v>
                </c:pt>
                <c:pt idx="26">
                  <c:v>32500</c:v>
                </c:pt>
                <c:pt idx="27">
                  <c:v>33750</c:v>
                </c:pt>
                <c:pt idx="28">
                  <c:v>35000</c:v>
                </c:pt>
                <c:pt idx="29">
                  <c:v>36250</c:v>
                </c:pt>
              </c:numCache>
            </c:numRef>
          </c:cat>
          <c:val>
            <c:numRef>
              <c:f>'４．売価と売上数の関係から価格設定する'!$AG$12:$AG$41</c:f>
              <c:numCache>
                <c:formatCode>General</c:formatCode>
                <c:ptCount val="30"/>
                <c:pt idx="0">
                  <c:v>57.328645876049457</c:v>
                </c:pt>
                <c:pt idx="1">
                  <c:v>40.180702893950048</c:v>
                </c:pt>
                <c:pt idx="2">
                  <c:v>30.43247227349115</c:v>
                </c:pt>
                <c:pt idx="3">
                  <c:v>24.144276070220595</c:v>
                </c:pt>
                <c:pt idx="4">
                  <c:v>19.751610927908505</c:v>
                </c:pt>
                <c:pt idx="5">
                  <c:v>16.509647450975063</c:v>
                </c:pt>
                <c:pt idx="6">
                  <c:v>14.01859395315115</c:v>
                </c:pt>
                <c:pt idx="7">
                  <c:v>12.044637646968319</c:v>
                </c:pt>
                <c:pt idx="8">
                  <c:v>10.441908604798966</c:v>
                </c:pt>
                <c:pt idx="9">
                  <c:v>9.1146866007476994</c:v>
                </c:pt>
                <c:pt idx="10">
                  <c:v>7.9975551838742991</c:v>
                </c:pt>
                <c:pt idx="11">
                  <c:v>7.0442889866512193</c:v>
                </c:pt>
                <c:pt idx="12">
                  <c:v>6.221297046110891</c:v>
                </c:pt>
                <c:pt idx="13">
                  <c:v>5.5035823180643053</c:v>
                </c:pt>
                <c:pt idx="14">
                  <c:v>4.8721585562382224</c:v>
                </c:pt>
                <c:pt idx="15">
                  <c:v>4.3123460650550243</c:v>
                </c:pt>
                <c:pt idx="16">
                  <c:v>3.8126161841206727</c:v>
                </c:pt>
                <c:pt idx="17">
                  <c:v>3.3637888757455432</c:v>
                </c:pt>
                <c:pt idx="18">
                  <c:v>2.9584636311483745</c:v>
                </c:pt>
                <c:pt idx="19">
                  <c:v>2.5906082042894951</c:v>
                </c:pt>
                <c:pt idx="20">
                  <c:v>2.2552563637397185</c:v>
                </c:pt>
                <c:pt idx="21">
                  <c:v>1.9482823742827815</c:v>
                </c:pt>
                <c:pt idx="22">
                  <c:v>1.6662304053943595</c:v>
                </c:pt>
                <c:pt idx="23">
                  <c:v>1.4061838678948648</c:v>
                </c:pt>
                <c:pt idx="24">
                  <c:v>1.1656641850744522</c:v>
                </c:pt>
                <c:pt idx="25">
                  <c:v>0.94255154241541472</c:v>
                </c:pt>
                <c:pt idx="26">
                  <c:v>0.73502224306497776</c:v>
                </c:pt>
                <c:pt idx="27">
                  <c:v>0.54149874662900022</c:v>
                </c:pt>
                <c:pt idx="28">
                  <c:v>0.36060949316538338</c:v>
                </c:pt>
                <c:pt idx="29">
                  <c:v>0.19115634715134799</c:v>
                </c:pt>
              </c:numCache>
            </c:numRef>
          </c:val>
        </c:ser>
        <c:hiLowLines/>
        <c:marker val="1"/>
        <c:axId val="134149248"/>
        <c:axId val="134151168"/>
      </c:lineChart>
      <c:catAx>
        <c:axId val="13414924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売価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34151168"/>
        <c:crosses val="autoZero"/>
        <c:auto val="1"/>
        <c:lblAlgn val="ctr"/>
        <c:lblOffset val="100"/>
      </c:catAx>
      <c:valAx>
        <c:axId val="134151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tickLblPos val="nextTo"/>
        <c:crossAx val="134149248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'４．売価と売上数の関係から価格設定する'!$AE$12:$AE$41</c:f>
              <c:numCache>
                <c:formatCode>General</c:formatCode>
                <c:ptCount val="30"/>
                <c:pt idx="0">
                  <c:v>0</c:v>
                </c:pt>
                <c:pt idx="1">
                  <c:v>1250</c:v>
                </c:pt>
                <c:pt idx="2">
                  <c:v>2500</c:v>
                </c:pt>
                <c:pt idx="3">
                  <c:v>3750</c:v>
                </c:pt>
                <c:pt idx="4">
                  <c:v>5000</c:v>
                </c:pt>
                <c:pt idx="5">
                  <c:v>6250</c:v>
                </c:pt>
                <c:pt idx="6">
                  <c:v>7500</c:v>
                </c:pt>
                <c:pt idx="7">
                  <c:v>8750</c:v>
                </c:pt>
                <c:pt idx="8">
                  <c:v>10000</c:v>
                </c:pt>
                <c:pt idx="9">
                  <c:v>11250</c:v>
                </c:pt>
                <c:pt idx="10">
                  <c:v>12500</c:v>
                </c:pt>
                <c:pt idx="11">
                  <c:v>13750</c:v>
                </c:pt>
                <c:pt idx="12">
                  <c:v>15000</c:v>
                </c:pt>
                <c:pt idx="13">
                  <c:v>16250</c:v>
                </c:pt>
                <c:pt idx="14">
                  <c:v>17500</c:v>
                </c:pt>
                <c:pt idx="15">
                  <c:v>18750</c:v>
                </c:pt>
                <c:pt idx="16">
                  <c:v>20000</c:v>
                </c:pt>
                <c:pt idx="17">
                  <c:v>21250</c:v>
                </c:pt>
                <c:pt idx="18">
                  <c:v>22500</c:v>
                </c:pt>
                <c:pt idx="19">
                  <c:v>23750</c:v>
                </c:pt>
                <c:pt idx="20">
                  <c:v>25000</c:v>
                </c:pt>
                <c:pt idx="21">
                  <c:v>26250</c:v>
                </c:pt>
                <c:pt idx="22">
                  <c:v>27500</c:v>
                </c:pt>
                <c:pt idx="23">
                  <c:v>28750</c:v>
                </c:pt>
                <c:pt idx="24">
                  <c:v>30000</c:v>
                </c:pt>
                <c:pt idx="25">
                  <c:v>31250</c:v>
                </c:pt>
                <c:pt idx="26">
                  <c:v>32500</c:v>
                </c:pt>
                <c:pt idx="27">
                  <c:v>33750</c:v>
                </c:pt>
                <c:pt idx="28">
                  <c:v>35000</c:v>
                </c:pt>
                <c:pt idx="29">
                  <c:v>36250</c:v>
                </c:pt>
              </c:numCache>
            </c:numRef>
          </c:cat>
          <c:val>
            <c:numRef>
              <c:f>'４．売価と売上数の関係から価格設定する'!$AH$12:$AH$41</c:f>
              <c:numCache>
                <c:formatCode>General</c:formatCode>
                <c:ptCount val="30"/>
                <c:pt idx="0">
                  <c:v>0</c:v>
                </c:pt>
                <c:pt idx="1">
                  <c:v>50225.878617437564</c:v>
                </c:pt>
                <c:pt idx="2">
                  <c:v>76081.180683727871</c:v>
                </c:pt>
                <c:pt idx="3">
                  <c:v>90541.035263327227</c:v>
                </c:pt>
                <c:pt idx="4">
                  <c:v>98758.054639542519</c:v>
                </c:pt>
                <c:pt idx="5">
                  <c:v>103185.29656859415</c:v>
                </c:pt>
                <c:pt idx="6">
                  <c:v>105139.45464863362</c:v>
                </c:pt>
                <c:pt idx="7">
                  <c:v>105390.57941097279</c:v>
                </c:pt>
                <c:pt idx="8">
                  <c:v>104419.08604798967</c:v>
                </c:pt>
                <c:pt idx="9">
                  <c:v>102540.22425841162</c:v>
                </c:pt>
                <c:pt idx="10">
                  <c:v>99969.439798428735</c:v>
                </c:pt>
                <c:pt idx="11">
                  <c:v>96858.973566454268</c:v>
                </c:pt>
                <c:pt idx="12">
                  <c:v>93319.455691663359</c:v>
                </c:pt>
                <c:pt idx="13">
                  <c:v>89433.212668544962</c:v>
                </c:pt>
                <c:pt idx="14">
                  <c:v>85262.774734168896</c:v>
                </c:pt>
                <c:pt idx="15">
                  <c:v>80856.488719781701</c:v>
                </c:pt>
                <c:pt idx="16">
                  <c:v>76252.323682413451</c:v>
                </c:pt>
                <c:pt idx="17">
                  <c:v>71480.513609592788</c:v>
                </c:pt>
                <c:pt idx="18">
                  <c:v>66565.431700838424</c:v>
                </c:pt>
                <c:pt idx="19">
                  <c:v>61526.944851875509</c:v>
                </c:pt>
                <c:pt idx="20">
                  <c:v>56381.409093492963</c:v>
                </c:pt>
                <c:pt idx="21">
                  <c:v>51142.412324923018</c:v>
                </c:pt>
                <c:pt idx="22">
                  <c:v>45821.33614834489</c:v>
                </c:pt>
                <c:pt idx="23">
                  <c:v>40427.78620197736</c:v>
                </c:pt>
                <c:pt idx="24">
                  <c:v>34969.925552233566</c:v>
                </c:pt>
                <c:pt idx="25">
                  <c:v>29454.73570048171</c:v>
                </c:pt>
                <c:pt idx="26">
                  <c:v>23888.222899611777</c:v>
                </c:pt>
                <c:pt idx="27">
                  <c:v>18275.582698728758</c:v>
                </c:pt>
                <c:pt idx="28">
                  <c:v>12621.332260788418</c:v>
                </c:pt>
                <c:pt idx="29">
                  <c:v>6929.4175842363647</c:v>
                </c:pt>
              </c:numCache>
            </c:numRef>
          </c:val>
        </c:ser>
        <c:hiLowLines/>
        <c:marker val="1"/>
        <c:axId val="189143680"/>
        <c:axId val="192344832"/>
      </c:lineChart>
      <c:catAx>
        <c:axId val="18914368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売価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92344832"/>
        <c:crosses val="autoZero"/>
        <c:auto val="1"/>
        <c:lblAlgn val="ctr"/>
        <c:lblOffset val="100"/>
      </c:catAx>
      <c:valAx>
        <c:axId val="192344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tickLblPos val="nextTo"/>
        <c:crossAx val="189143680"/>
        <c:crosses val="autoZero"/>
        <c:crossBetween val="midCat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'５．努力の方針を定める'!$L$16</c:f>
              <c:strCache>
                <c:ptCount val="1"/>
                <c:pt idx="0">
                  <c:v>利益</c:v>
                </c:pt>
              </c:strCache>
            </c:strRef>
          </c:tx>
          <c:marker>
            <c:symbol val="none"/>
          </c:marker>
          <c:cat>
            <c:numRef>
              <c:f>'５．努力の方針を定める'!$C$17:$C$31</c:f>
              <c:numCache>
                <c:formatCode>0.00_ </c:formatCode>
                <c:ptCount val="15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  <c:pt idx="6">
                  <c:v>0.49999999999999994</c:v>
                </c:pt>
                <c:pt idx="7">
                  <c:v>0.54999999999999993</c:v>
                </c:pt>
                <c:pt idx="8">
                  <c:v>0.6</c:v>
                </c:pt>
                <c:pt idx="9">
                  <c:v>0.65</c:v>
                </c:pt>
                <c:pt idx="10">
                  <c:v>0.70000000000000007</c:v>
                </c:pt>
                <c:pt idx="11">
                  <c:v>0.75000000000000011</c:v>
                </c:pt>
                <c:pt idx="12">
                  <c:v>0.80000000000000016</c:v>
                </c:pt>
                <c:pt idx="13">
                  <c:v>0.8500000000000002</c:v>
                </c:pt>
                <c:pt idx="14">
                  <c:v>0.90000000000000024</c:v>
                </c:pt>
              </c:numCache>
            </c:numRef>
          </c:cat>
          <c:val>
            <c:numRef>
              <c:f>'５．努力の方針を定める'!$L$17:$L$31</c:f>
              <c:numCache>
                <c:formatCode>#,##0;[Red]\-#,##0</c:formatCode>
                <c:ptCount val="15"/>
                <c:pt idx="0">
                  <c:v>23563.788560385405</c:v>
                </c:pt>
                <c:pt idx="1">
                  <c:v>42286.056820119724</c:v>
                </c:pt>
                <c:pt idx="2">
                  <c:v>51161.695020415144</c:v>
                </c:pt>
                <c:pt idx="3">
                  <c:v>54616.947658902092</c:v>
                </c:pt>
                <c:pt idx="4">
                  <c:v>54849.227609783869</c:v>
                </c:pt>
                <c:pt idx="5">
                  <c:v>53066.842885889164</c:v>
                </c:pt>
                <c:pt idx="6">
                  <c:v>49984.719899214382</c:v>
                </c:pt>
                <c:pt idx="7">
                  <c:v>46049.601760030142</c:v>
                </c:pt>
                <c:pt idx="8">
                  <c:v>41552.544599242094</c:v>
                </c:pt>
                <c:pt idx="9">
                  <c:v>36689.410633399362</c:v>
                </c:pt>
                <c:pt idx="10">
                  <c:v>31595.369844788336</c:v>
                </c:pt>
                <c:pt idx="11">
                  <c:v>26365.547706018995</c:v>
                </c:pt>
                <c:pt idx="12">
                  <c:v>21067.886535565642</c:v>
                </c:pt>
                <c:pt idx="13">
                  <c:v>15751.431847948243</c:v>
                </c:pt>
                <c:pt idx="14">
                  <c:v>10451.827085745899</c:v>
                </c:pt>
              </c:numCache>
            </c:numRef>
          </c:val>
        </c:ser>
        <c:ser>
          <c:idx val="1"/>
          <c:order val="1"/>
          <c:tx>
            <c:strRef>
              <c:f>'５．努力の方針を定める'!$H$16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val>
            <c:numRef>
              <c:f>'５．努力の方針を定める'!$H$17:$H$31</c:f>
              <c:numCache>
                <c:formatCode>#,##0;[Red]\-#,##0</c:formatCode>
                <c:ptCount val="15"/>
                <c:pt idx="0">
                  <c:v>29454.73570048176</c:v>
                </c:pt>
                <c:pt idx="1">
                  <c:v>56381.409093492963</c:v>
                </c:pt>
                <c:pt idx="2">
                  <c:v>73088.135743450199</c:v>
                </c:pt>
                <c:pt idx="3">
                  <c:v>84026.073321387827</c:v>
                </c:pt>
                <c:pt idx="4">
                  <c:v>91415.379349639785</c:v>
                </c:pt>
                <c:pt idx="5">
                  <c:v>96485.168883434846</c:v>
                </c:pt>
                <c:pt idx="6">
                  <c:v>99969.43979842875</c:v>
                </c:pt>
                <c:pt idx="7">
                  <c:v>102332.4483556225</c:v>
                </c:pt>
                <c:pt idx="8">
                  <c:v>103881.36149810521</c:v>
                </c:pt>
                <c:pt idx="9">
                  <c:v>104826.8875239982</c:v>
                </c:pt>
                <c:pt idx="10">
                  <c:v>105317.89948262781</c:v>
                </c:pt>
                <c:pt idx="11">
                  <c:v>105462.19082407604</c:v>
                </c:pt>
                <c:pt idx="12">
                  <c:v>105339.43267782833</c:v>
                </c:pt>
                <c:pt idx="13">
                  <c:v>105009.54565298838</c:v>
                </c:pt>
                <c:pt idx="14">
                  <c:v>104518.27085745921</c:v>
                </c:pt>
              </c:numCache>
            </c:numRef>
          </c:val>
        </c:ser>
        <c:ser>
          <c:idx val="2"/>
          <c:order val="2"/>
          <c:tx>
            <c:strRef>
              <c:f>'５．努力の方針を定める'!$I$16</c:f>
              <c:strCache>
                <c:ptCount val="1"/>
                <c:pt idx="0">
                  <c:v>仕入額</c:v>
                </c:pt>
              </c:strCache>
            </c:strRef>
          </c:tx>
          <c:marker>
            <c:symbol val="none"/>
          </c:marker>
          <c:val>
            <c:numRef>
              <c:f>'５．努力の方針を定める'!$I$17:$I$31</c:f>
              <c:numCache>
                <c:formatCode>#,##0;[Red]\-#,##0</c:formatCode>
                <c:ptCount val="15"/>
                <c:pt idx="0">
                  <c:v>4712.7577120770829</c:v>
                </c:pt>
                <c:pt idx="1">
                  <c:v>11276.281818698593</c:v>
                </c:pt>
                <c:pt idx="2">
                  <c:v>17541.152578428046</c:v>
                </c:pt>
                <c:pt idx="3">
                  <c:v>23527.300529988588</c:v>
                </c:pt>
                <c:pt idx="4">
                  <c:v>29252.921391884731</c:v>
                </c:pt>
                <c:pt idx="5">
                  <c:v>34734.660798036544</c:v>
                </c:pt>
                <c:pt idx="6">
                  <c:v>39987.775919371496</c:v>
                </c:pt>
                <c:pt idx="7">
                  <c:v>45026.277276473891</c:v>
                </c:pt>
                <c:pt idx="8">
                  <c:v>49863.053519090492</c:v>
                </c:pt>
                <c:pt idx="9">
                  <c:v>54509.981512479069</c:v>
                </c:pt>
                <c:pt idx="10">
                  <c:v>58978.023710271576</c:v>
                </c:pt>
                <c:pt idx="11">
                  <c:v>63277.314494445636</c:v>
                </c:pt>
                <c:pt idx="12">
                  <c:v>67417.236913810149</c:v>
                </c:pt>
                <c:pt idx="13">
                  <c:v>71406.491044032111</c:v>
                </c:pt>
                <c:pt idx="14">
                  <c:v>75253.155017370649</c:v>
                </c:pt>
              </c:numCache>
            </c:numRef>
          </c:val>
        </c:ser>
        <c:ser>
          <c:idx val="3"/>
          <c:order val="3"/>
          <c:tx>
            <c:strRef>
              <c:f>'５．努力の方針を定める'!$K$16</c:f>
              <c:strCache>
                <c:ptCount val="1"/>
                <c:pt idx="0">
                  <c:v>廃棄額</c:v>
                </c:pt>
              </c:strCache>
            </c:strRef>
          </c:tx>
          <c:marker>
            <c:symbol val="none"/>
          </c:marker>
          <c:val>
            <c:numRef>
              <c:f>'５．努力の方針を定める'!$K$17:$K$31</c:f>
              <c:numCache>
                <c:formatCode>#,##0;[Red]\-#,##0</c:formatCode>
                <c:ptCount val="15"/>
                <c:pt idx="0">
                  <c:v>1178.1894280192707</c:v>
                </c:pt>
                <c:pt idx="1">
                  <c:v>2819.0704546746483</c:v>
                </c:pt>
                <c:pt idx="2">
                  <c:v>4385.2881446070114</c:v>
                </c:pt>
                <c:pt idx="3">
                  <c:v>5881.825132497147</c:v>
                </c:pt>
                <c:pt idx="4">
                  <c:v>7313.2303479711827</c:v>
                </c:pt>
                <c:pt idx="5">
                  <c:v>8683.6651995091361</c:v>
                </c:pt>
                <c:pt idx="6">
                  <c:v>9996.9439798428739</c:v>
                </c:pt>
                <c:pt idx="7">
                  <c:v>11256.569319118473</c:v>
                </c:pt>
                <c:pt idx="8">
                  <c:v>12465.763379772623</c:v>
                </c:pt>
                <c:pt idx="9">
                  <c:v>13627.495378119767</c:v>
                </c:pt>
                <c:pt idx="10">
                  <c:v>14744.505927567894</c:v>
                </c:pt>
                <c:pt idx="11">
                  <c:v>15819.328623611409</c:v>
                </c:pt>
                <c:pt idx="12">
                  <c:v>16854.309228452537</c:v>
                </c:pt>
                <c:pt idx="13">
                  <c:v>17851.622761008028</c:v>
                </c:pt>
                <c:pt idx="14">
                  <c:v>18813.288754342662</c:v>
                </c:pt>
              </c:numCache>
            </c:numRef>
          </c:val>
        </c:ser>
        <c:marker val="1"/>
        <c:axId val="134359680"/>
        <c:axId val="134378240"/>
      </c:lineChart>
      <c:catAx>
        <c:axId val="13435968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原価率</a:t>
                </a:r>
                <a:r>
                  <a:rPr lang="en-US" altLang="ja-JP"/>
                  <a:t>(</a:t>
                </a:r>
                <a:r>
                  <a:rPr lang="ja-JP" altLang="en-US"/>
                  <a:t>確率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0.00_ " sourceLinked="1"/>
        <c:majorTickMark val="none"/>
        <c:tickLblPos val="nextTo"/>
        <c:crossAx val="134378240"/>
        <c:crosses val="autoZero"/>
        <c:auto val="1"/>
        <c:lblAlgn val="ctr"/>
        <c:lblOffset val="100"/>
      </c:catAx>
      <c:valAx>
        <c:axId val="134378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343596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'５．努力の方針を定める'!$AG$16</c:f>
              <c:strCache>
                <c:ptCount val="1"/>
                <c:pt idx="0">
                  <c:v>利益</c:v>
                </c:pt>
              </c:strCache>
            </c:strRef>
          </c:tx>
          <c:marker>
            <c:symbol val="none"/>
          </c:marker>
          <c:cat>
            <c:numRef>
              <c:f>'５．努力の方針を定める'!$Y$17:$Y$31</c:f>
              <c:numCache>
                <c:formatCode>0.00_ </c:formatCode>
                <c:ptCount val="15"/>
                <c:pt idx="0">
                  <c:v>0.65</c:v>
                </c:pt>
                <c:pt idx="1">
                  <c:v>0.61</c:v>
                </c:pt>
                <c:pt idx="2">
                  <c:v>0.56999999999999995</c:v>
                </c:pt>
                <c:pt idx="3">
                  <c:v>0.52999999999999992</c:v>
                </c:pt>
                <c:pt idx="4">
                  <c:v>0.48999999999999994</c:v>
                </c:pt>
                <c:pt idx="5">
                  <c:v>0.44999999999999996</c:v>
                </c:pt>
                <c:pt idx="6">
                  <c:v>0.41</c:v>
                </c:pt>
                <c:pt idx="7">
                  <c:v>0.37</c:v>
                </c:pt>
                <c:pt idx="8">
                  <c:v>0.33</c:v>
                </c:pt>
                <c:pt idx="9">
                  <c:v>0.29000000000000004</c:v>
                </c:pt>
                <c:pt idx="10">
                  <c:v>0.25000000000000006</c:v>
                </c:pt>
                <c:pt idx="11">
                  <c:v>0.21000000000000005</c:v>
                </c:pt>
                <c:pt idx="12">
                  <c:v>0.17000000000000004</c:v>
                </c:pt>
                <c:pt idx="13">
                  <c:v>0.13000000000000003</c:v>
                </c:pt>
                <c:pt idx="14">
                  <c:v>9.0000000000000024E-2</c:v>
                </c:pt>
              </c:numCache>
            </c:numRef>
          </c:cat>
          <c:val>
            <c:numRef>
              <c:f>'５．努力の方針を定める'!$AG$17:$AG$31</c:f>
              <c:numCache>
                <c:formatCode>#,##0;[Red]\-#,##0</c:formatCode>
                <c:ptCount val="15"/>
                <c:pt idx="0">
                  <c:v>5623.9135772286572</c:v>
                </c:pt>
                <c:pt idx="1">
                  <c:v>15535.212339464273</c:v>
                </c:pt>
                <c:pt idx="2">
                  <c:v>23422.448331463853</c:v>
                </c:pt>
                <c:pt idx="3">
                  <c:v>29807.03912659235</c:v>
                </c:pt>
                <c:pt idx="4">
                  <c:v>35046.661555613442</c:v>
                </c:pt>
                <c:pt idx="5">
                  <c:v>39394.800570453212</c:v>
                </c:pt>
                <c:pt idx="6">
                  <c:v>43036.07449568258</c:v>
                </c:pt>
                <c:pt idx="7">
                  <c:v>46108.102738103829</c:v>
                </c:pt>
                <c:pt idx="8">
                  <c:v>48715.540019679182</c:v>
                </c:pt>
                <c:pt idx="9">
                  <c:v>50939.36640787559</c:v>
                </c:pt>
                <c:pt idx="10">
                  <c:v>52843.204326182822</c:v>
                </c:pt>
                <c:pt idx="11">
                  <c:v>54477.716285532289</c:v>
                </c:pt>
                <c:pt idx="12">
                  <c:v>55883.730815055605</c:v>
                </c:pt>
                <c:pt idx="13">
                  <c:v>57094.505916927621</c:v>
                </c:pt>
                <c:pt idx="14">
                  <c:v>58137.395431042714</c:v>
                </c:pt>
              </c:numCache>
            </c:numRef>
          </c:val>
        </c:ser>
        <c:ser>
          <c:idx val="1"/>
          <c:order val="1"/>
          <c:tx>
            <c:strRef>
              <c:f>'５．努力の方針を定める'!$AC$16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'５．努力の方針を定める'!$Y$17:$Y$31</c:f>
              <c:numCache>
                <c:formatCode>0.00_ </c:formatCode>
                <c:ptCount val="15"/>
                <c:pt idx="0">
                  <c:v>0.65</c:v>
                </c:pt>
                <c:pt idx="1">
                  <c:v>0.61</c:v>
                </c:pt>
                <c:pt idx="2">
                  <c:v>0.56999999999999995</c:v>
                </c:pt>
                <c:pt idx="3">
                  <c:v>0.52999999999999992</c:v>
                </c:pt>
                <c:pt idx="4">
                  <c:v>0.48999999999999994</c:v>
                </c:pt>
                <c:pt idx="5">
                  <c:v>0.44999999999999996</c:v>
                </c:pt>
                <c:pt idx="6">
                  <c:v>0.41</c:v>
                </c:pt>
                <c:pt idx="7">
                  <c:v>0.37</c:v>
                </c:pt>
                <c:pt idx="8">
                  <c:v>0.33</c:v>
                </c:pt>
                <c:pt idx="9">
                  <c:v>0.29000000000000004</c:v>
                </c:pt>
                <c:pt idx="10">
                  <c:v>0.25000000000000006</c:v>
                </c:pt>
                <c:pt idx="11">
                  <c:v>0.21000000000000005</c:v>
                </c:pt>
                <c:pt idx="12">
                  <c:v>0.17000000000000004</c:v>
                </c:pt>
                <c:pt idx="13">
                  <c:v>0.13000000000000003</c:v>
                </c:pt>
                <c:pt idx="14">
                  <c:v>9.0000000000000024E-2</c:v>
                </c:pt>
              </c:numCache>
            </c:numRef>
          </c:cat>
          <c:val>
            <c:numRef>
              <c:f>'５．努力の方針を定める'!$AC$17:$AC$31</c:f>
              <c:numCache>
                <c:formatCode>#,##0;[Red]\-#,##0</c:formatCode>
                <c:ptCount val="15"/>
                <c:pt idx="0">
                  <c:v>9373.1892953810966</c:v>
                </c:pt>
                <c:pt idx="1">
                  <c:v>25892.02056577379</c:v>
                </c:pt>
                <c:pt idx="2">
                  <c:v>39037.413885773094</c:v>
                </c:pt>
                <c:pt idx="3">
                  <c:v>49678.398544320582</c:v>
                </c:pt>
                <c:pt idx="4">
                  <c:v>58411.102592689065</c:v>
                </c:pt>
                <c:pt idx="5">
                  <c:v>65658.000950755362</c:v>
                </c:pt>
                <c:pt idx="6">
                  <c:v>71726.790826137643</c:v>
                </c:pt>
                <c:pt idx="7">
                  <c:v>76846.837896839716</c:v>
                </c:pt>
                <c:pt idx="8">
                  <c:v>81192.5666994653</c:v>
                </c:pt>
                <c:pt idx="9">
                  <c:v>84898.944013125976</c:v>
                </c:pt>
                <c:pt idx="10">
                  <c:v>88072.007210304713</c:v>
                </c:pt>
                <c:pt idx="11">
                  <c:v>90796.19380922048</c:v>
                </c:pt>
                <c:pt idx="12">
                  <c:v>93139.551358426004</c:v>
                </c:pt>
                <c:pt idx="13">
                  <c:v>95157.509861546045</c:v>
                </c:pt>
                <c:pt idx="14">
                  <c:v>96895.659051737865</c:v>
                </c:pt>
              </c:numCache>
            </c:numRef>
          </c:val>
        </c:ser>
        <c:ser>
          <c:idx val="2"/>
          <c:order val="2"/>
          <c:tx>
            <c:strRef>
              <c:f>'５．努力の方針を定める'!$AD$16</c:f>
              <c:strCache>
                <c:ptCount val="1"/>
                <c:pt idx="0">
                  <c:v>仕入額</c:v>
                </c:pt>
              </c:strCache>
            </c:strRef>
          </c:tx>
          <c:marker>
            <c:symbol val="none"/>
          </c:marker>
          <c:cat>
            <c:numRef>
              <c:f>'５．努力の方針を定める'!$Y$17:$Y$31</c:f>
              <c:numCache>
                <c:formatCode>0.00_ </c:formatCode>
                <c:ptCount val="15"/>
                <c:pt idx="0">
                  <c:v>0.65</c:v>
                </c:pt>
                <c:pt idx="1">
                  <c:v>0.61</c:v>
                </c:pt>
                <c:pt idx="2">
                  <c:v>0.56999999999999995</c:v>
                </c:pt>
                <c:pt idx="3">
                  <c:v>0.52999999999999992</c:v>
                </c:pt>
                <c:pt idx="4">
                  <c:v>0.48999999999999994</c:v>
                </c:pt>
                <c:pt idx="5">
                  <c:v>0.44999999999999996</c:v>
                </c:pt>
                <c:pt idx="6">
                  <c:v>0.41</c:v>
                </c:pt>
                <c:pt idx="7">
                  <c:v>0.37</c:v>
                </c:pt>
                <c:pt idx="8">
                  <c:v>0.33</c:v>
                </c:pt>
                <c:pt idx="9">
                  <c:v>0.29000000000000004</c:v>
                </c:pt>
                <c:pt idx="10">
                  <c:v>0.25000000000000006</c:v>
                </c:pt>
                <c:pt idx="11">
                  <c:v>0.21000000000000005</c:v>
                </c:pt>
                <c:pt idx="12">
                  <c:v>0.17000000000000004</c:v>
                </c:pt>
                <c:pt idx="13">
                  <c:v>0.13000000000000003</c:v>
                </c:pt>
                <c:pt idx="14">
                  <c:v>9.0000000000000024E-2</c:v>
                </c:pt>
              </c:numCache>
            </c:numRef>
          </c:cat>
          <c:val>
            <c:numRef>
              <c:f>'５．努力の方針を定める'!$AD$17:$AD$31</c:f>
              <c:numCache>
                <c:formatCode>#,##0;[Red]\-#,##0</c:formatCode>
                <c:ptCount val="15"/>
                <c:pt idx="0">
                  <c:v>1312.2465013533536</c:v>
                </c:pt>
                <c:pt idx="1">
                  <c:v>4039.1552082607118</c:v>
                </c:pt>
                <c:pt idx="2">
                  <c:v>6714.4351883529744</c:v>
                </c:pt>
                <c:pt idx="3">
                  <c:v>9339.5389263322722</c:v>
                </c:pt>
                <c:pt idx="4">
                  <c:v>11915.86492890857</c:v>
                </c:pt>
                <c:pt idx="5">
                  <c:v>14444.760209166181</c:v>
                </c:pt>
                <c:pt idx="6">
                  <c:v>16927.522634968489</c:v>
                </c:pt>
                <c:pt idx="7">
                  <c:v>19365.403150003607</c:v>
                </c:pt>
                <c:pt idx="8">
                  <c:v>21759.607875456695</c:v>
                </c:pt>
                <c:pt idx="9">
                  <c:v>24111.300099727774</c:v>
                </c:pt>
                <c:pt idx="10">
                  <c:v>26421.602163091418</c:v>
                </c:pt>
                <c:pt idx="11">
                  <c:v>28691.59724371367</c:v>
                </c:pt>
                <c:pt idx="12">
                  <c:v>30922.331050997433</c:v>
                </c:pt>
                <c:pt idx="13">
                  <c:v>33114.813431818024</c:v>
                </c:pt>
                <c:pt idx="14">
                  <c:v>35270.019894832585</c:v>
                </c:pt>
              </c:numCache>
            </c:numRef>
          </c:val>
        </c:ser>
        <c:ser>
          <c:idx val="3"/>
          <c:order val="3"/>
          <c:tx>
            <c:strRef>
              <c:f>'５．努力の方針を定める'!$AF$16</c:f>
              <c:strCache>
                <c:ptCount val="1"/>
                <c:pt idx="0">
                  <c:v>廃棄額</c:v>
                </c:pt>
              </c:strCache>
            </c:strRef>
          </c:tx>
          <c:marker>
            <c:symbol val="none"/>
          </c:marker>
          <c:cat>
            <c:numRef>
              <c:f>'５．努力の方針を定める'!$Y$17:$Y$31</c:f>
              <c:numCache>
                <c:formatCode>0.00_ </c:formatCode>
                <c:ptCount val="15"/>
                <c:pt idx="0">
                  <c:v>0.65</c:v>
                </c:pt>
                <c:pt idx="1">
                  <c:v>0.61</c:v>
                </c:pt>
                <c:pt idx="2">
                  <c:v>0.56999999999999995</c:v>
                </c:pt>
                <c:pt idx="3">
                  <c:v>0.52999999999999992</c:v>
                </c:pt>
                <c:pt idx="4">
                  <c:v>0.48999999999999994</c:v>
                </c:pt>
                <c:pt idx="5">
                  <c:v>0.44999999999999996</c:v>
                </c:pt>
                <c:pt idx="6">
                  <c:v>0.41</c:v>
                </c:pt>
                <c:pt idx="7">
                  <c:v>0.37</c:v>
                </c:pt>
                <c:pt idx="8">
                  <c:v>0.33</c:v>
                </c:pt>
                <c:pt idx="9">
                  <c:v>0.29000000000000004</c:v>
                </c:pt>
                <c:pt idx="10">
                  <c:v>0.25000000000000006</c:v>
                </c:pt>
                <c:pt idx="11">
                  <c:v>0.21000000000000005</c:v>
                </c:pt>
                <c:pt idx="12">
                  <c:v>0.17000000000000004</c:v>
                </c:pt>
                <c:pt idx="13">
                  <c:v>0.13000000000000003</c:v>
                </c:pt>
                <c:pt idx="14">
                  <c:v>9.0000000000000024E-2</c:v>
                </c:pt>
              </c:numCache>
            </c:numRef>
          </c:cat>
          <c:val>
            <c:numRef>
              <c:f>'５．努力の方針を定める'!$AF$17:$AF$31</c:f>
              <c:numCache>
                <c:formatCode>#,##0;[Red]\-#,##0</c:formatCode>
                <c:ptCount val="15"/>
                <c:pt idx="0">
                  <c:v>2437.0292167990851</c:v>
                </c:pt>
                <c:pt idx="1">
                  <c:v>6317.6530180488053</c:v>
                </c:pt>
                <c:pt idx="2">
                  <c:v>8900.5303659562669</c:v>
                </c:pt>
                <c:pt idx="3">
                  <c:v>10531.82049139596</c:v>
                </c:pt>
                <c:pt idx="4">
                  <c:v>11448.576108167057</c:v>
                </c:pt>
                <c:pt idx="5">
                  <c:v>11818.440171135964</c:v>
                </c:pt>
                <c:pt idx="6">
                  <c:v>11763.193695486574</c:v>
                </c:pt>
                <c:pt idx="7">
                  <c:v>11373.332008732277</c:v>
                </c:pt>
                <c:pt idx="8">
                  <c:v>10717.41880432942</c:v>
                </c:pt>
                <c:pt idx="9">
                  <c:v>9848.2775055226139</c:v>
                </c:pt>
                <c:pt idx="10">
                  <c:v>8807.2007210304746</c:v>
                </c:pt>
                <c:pt idx="11">
                  <c:v>7626.8802799745226</c:v>
                </c:pt>
                <c:pt idx="12">
                  <c:v>6333.4894923729698</c:v>
                </c:pt>
                <c:pt idx="13">
                  <c:v>4948.1905128003964</c:v>
                </c:pt>
                <c:pt idx="14">
                  <c:v>3488.2437258625641</c:v>
                </c:pt>
              </c:numCache>
            </c:numRef>
          </c:val>
        </c:ser>
        <c:marker val="1"/>
        <c:axId val="134400640"/>
        <c:axId val="192750336"/>
      </c:lineChart>
      <c:catAx>
        <c:axId val="13440064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廃棄率</a:t>
                </a:r>
                <a:r>
                  <a:rPr lang="en-US" altLang="ja-JP"/>
                  <a:t>(</a:t>
                </a:r>
                <a:r>
                  <a:rPr lang="ja-JP" altLang="en-US"/>
                  <a:t>確率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0.00_ " sourceLinked="1"/>
        <c:majorTickMark val="none"/>
        <c:tickLblPos val="nextTo"/>
        <c:crossAx val="192750336"/>
        <c:crosses val="autoZero"/>
        <c:auto val="1"/>
        <c:lblAlgn val="ctr"/>
        <c:lblOffset val="100"/>
      </c:catAx>
      <c:valAx>
        <c:axId val="192750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344006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7</xdr:row>
      <xdr:rowOff>0</xdr:rowOff>
    </xdr:from>
    <xdr:to>
      <xdr:col>28</xdr:col>
      <xdr:colOff>457200</xdr:colOff>
      <xdr:row>23</xdr:row>
      <xdr:rowOff>0</xdr:rowOff>
    </xdr:to>
    <xdr:graphicFrame macro="">
      <xdr:nvGraphicFramePr>
        <xdr:cNvPr id="32" name="グラフ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13</xdr:col>
      <xdr:colOff>457200</xdr:colOff>
      <xdr:row>23</xdr:row>
      <xdr:rowOff>0</xdr:rowOff>
    </xdr:to>
    <xdr:graphicFrame macro="">
      <xdr:nvGraphicFramePr>
        <xdr:cNvPr id="34" name="グラフ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13</xdr:col>
      <xdr:colOff>457200</xdr:colOff>
      <xdr:row>24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8</xdr:row>
      <xdr:rowOff>0</xdr:rowOff>
    </xdr:from>
    <xdr:to>
      <xdr:col>28</xdr:col>
      <xdr:colOff>457200</xdr:colOff>
      <xdr:row>24</xdr:row>
      <xdr:rowOff>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0</xdr:colOff>
      <xdr:row>8</xdr:row>
      <xdr:rowOff>0</xdr:rowOff>
    </xdr:from>
    <xdr:to>
      <xdr:col>43</xdr:col>
      <xdr:colOff>457200</xdr:colOff>
      <xdr:row>24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0</xdr:colOff>
      <xdr:row>8</xdr:row>
      <xdr:rowOff>0</xdr:rowOff>
    </xdr:from>
    <xdr:to>
      <xdr:col>58</xdr:col>
      <xdr:colOff>457200</xdr:colOff>
      <xdr:row>24</xdr:row>
      <xdr:rowOff>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9</xdr:col>
      <xdr:colOff>457200</xdr:colOff>
      <xdr:row>35</xdr:row>
      <xdr:rowOff>0</xdr:rowOff>
    </xdr:to>
    <xdr:graphicFrame macro="">
      <xdr:nvGraphicFramePr>
        <xdr:cNvPr id="55" name="グラフ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19</xdr:row>
      <xdr:rowOff>0</xdr:rowOff>
    </xdr:from>
    <xdr:to>
      <xdr:col>23</xdr:col>
      <xdr:colOff>457200</xdr:colOff>
      <xdr:row>35</xdr:row>
      <xdr:rowOff>0</xdr:rowOff>
    </xdr:to>
    <xdr:graphicFrame macro="">
      <xdr:nvGraphicFramePr>
        <xdr:cNvPr id="57" name="グラフ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0</xdr:colOff>
      <xdr:row>19</xdr:row>
      <xdr:rowOff>0</xdr:rowOff>
    </xdr:from>
    <xdr:to>
      <xdr:col>43</xdr:col>
      <xdr:colOff>457200</xdr:colOff>
      <xdr:row>35</xdr:row>
      <xdr:rowOff>0</xdr:rowOff>
    </xdr:to>
    <xdr:graphicFrame macro="">
      <xdr:nvGraphicFramePr>
        <xdr:cNvPr id="65" name="グラフ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36</xdr:row>
      <xdr:rowOff>0</xdr:rowOff>
    </xdr:from>
    <xdr:to>
      <xdr:col>43</xdr:col>
      <xdr:colOff>457200</xdr:colOff>
      <xdr:row>52</xdr:row>
      <xdr:rowOff>0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53</xdr:row>
      <xdr:rowOff>0</xdr:rowOff>
    </xdr:from>
    <xdr:to>
      <xdr:col>43</xdr:col>
      <xdr:colOff>457200</xdr:colOff>
      <xdr:row>69</xdr:row>
      <xdr:rowOff>0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39</xdr:row>
      <xdr:rowOff>0</xdr:rowOff>
    </xdr:from>
    <xdr:to>
      <xdr:col>23</xdr:col>
      <xdr:colOff>457200</xdr:colOff>
      <xdr:row>55</xdr:row>
      <xdr:rowOff>0</xdr:rowOff>
    </xdr:to>
    <xdr:grpSp>
      <xdr:nvGrpSpPr>
        <xdr:cNvPr id="77" name="グループ化 76"/>
        <xdr:cNvGrpSpPr/>
      </xdr:nvGrpSpPr>
      <xdr:grpSpPr>
        <a:xfrm>
          <a:off x="11658600" y="6686550"/>
          <a:ext cx="4572000" cy="2743200"/>
          <a:chOff x="11658600" y="6000750"/>
          <a:chExt cx="4572000" cy="2743200"/>
        </a:xfrm>
      </xdr:grpSpPr>
      <xdr:graphicFrame macro="">
        <xdr:nvGraphicFramePr>
          <xdr:cNvPr id="78" name="グラフ 77"/>
          <xdr:cNvGraphicFramePr/>
        </xdr:nvGraphicFramePr>
        <xdr:xfrm>
          <a:off x="11658600" y="60007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cxnSp macro="">
        <xdr:nvCxnSpPr>
          <xdr:cNvPr id="79" name="直線コネクタ 78"/>
          <xdr:cNvCxnSpPr/>
        </xdr:nvCxnSpPr>
        <xdr:spPr>
          <a:xfrm>
            <a:off x="15268575" y="7829550"/>
            <a:ext cx="0" cy="360000"/>
          </a:xfrm>
          <a:prstGeom prst="line">
            <a:avLst/>
          </a:prstGeom>
          <a:ln w="38100">
            <a:solidFill>
              <a:schemeClr val="accent3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0</xdr:colOff>
      <xdr:row>59</xdr:row>
      <xdr:rowOff>0</xdr:rowOff>
    </xdr:from>
    <xdr:to>
      <xdr:col>23</xdr:col>
      <xdr:colOff>457200</xdr:colOff>
      <xdr:row>75</xdr:row>
      <xdr:rowOff>0</xdr:rowOff>
    </xdr:to>
    <xdr:grpSp>
      <xdr:nvGrpSpPr>
        <xdr:cNvPr id="83" name="グループ化 82"/>
        <xdr:cNvGrpSpPr/>
      </xdr:nvGrpSpPr>
      <xdr:grpSpPr>
        <a:xfrm>
          <a:off x="11658600" y="10115550"/>
          <a:ext cx="4572000" cy="2743200"/>
          <a:chOff x="11658600" y="8915400"/>
          <a:chExt cx="4572000" cy="2743200"/>
        </a:xfrm>
      </xdr:grpSpPr>
      <xdr:graphicFrame macro="">
        <xdr:nvGraphicFramePr>
          <xdr:cNvPr id="84" name="グラフ 83"/>
          <xdr:cNvGraphicFramePr/>
        </xdr:nvGraphicFramePr>
        <xdr:xfrm>
          <a:off x="11658600" y="89154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cxnSp macro="">
        <xdr:nvCxnSpPr>
          <xdr:cNvPr id="85" name="直線コネクタ 84"/>
          <xdr:cNvCxnSpPr/>
        </xdr:nvCxnSpPr>
        <xdr:spPr>
          <a:xfrm>
            <a:off x="13335000" y="10544175"/>
            <a:ext cx="0" cy="540000"/>
          </a:xfrm>
          <a:prstGeom prst="line">
            <a:avLst/>
          </a:prstGeom>
          <a:ln w="38100">
            <a:solidFill>
              <a:schemeClr val="accent3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457200</xdr:colOff>
      <xdr:row>21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15</xdr:col>
      <xdr:colOff>457200</xdr:colOff>
      <xdr:row>26</xdr:row>
      <xdr:rowOff>0</xdr:rowOff>
    </xdr:to>
    <xdr:graphicFrame macro="">
      <xdr:nvGraphicFramePr>
        <xdr:cNvPr id="31" name="グラフ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15</xdr:col>
      <xdr:colOff>457200</xdr:colOff>
      <xdr:row>45</xdr:row>
      <xdr:rowOff>0</xdr:rowOff>
    </xdr:to>
    <xdr:graphicFrame macro="">
      <xdr:nvGraphicFramePr>
        <xdr:cNvPr id="33" name="グラフ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29</xdr:row>
      <xdr:rowOff>0</xdr:rowOff>
    </xdr:from>
    <xdr:to>
      <xdr:col>22</xdr:col>
      <xdr:colOff>457200</xdr:colOff>
      <xdr:row>45</xdr:row>
      <xdr:rowOff>0</xdr:rowOff>
    </xdr:to>
    <xdr:graphicFrame macro="">
      <xdr:nvGraphicFramePr>
        <xdr:cNvPr id="45" name="グラフ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10</xdr:row>
      <xdr:rowOff>0</xdr:rowOff>
    </xdr:from>
    <xdr:to>
      <xdr:col>22</xdr:col>
      <xdr:colOff>457200</xdr:colOff>
      <xdr:row>26</xdr:row>
      <xdr:rowOff>0</xdr:rowOff>
    </xdr:to>
    <xdr:graphicFrame macro="">
      <xdr:nvGraphicFramePr>
        <xdr:cNvPr id="46" name="グラフ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10</xdr:row>
      <xdr:rowOff>0</xdr:rowOff>
    </xdr:from>
    <xdr:to>
      <xdr:col>29</xdr:col>
      <xdr:colOff>457200</xdr:colOff>
      <xdr:row>26</xdr:row>
      <xdr:rowOff>0</xdr:rowOff>
    </xdr:to>
    <xdr:graphicFrame macro="">
      <xdr:nvGraphicFramePr>
        <xdr:cNvPr id="48" name="グラフ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29</xdr:row>
      <xdr:rowOff>0</xdr:rowOff>
    </xdr:from>
    <xdr:to>
      <xdr:col>29</xdr:col>
      <xdr:colOff>457200</xdr:colOff>
      <xdr:row>45</xdr:row>
      <xdr:rowOff>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0</xdr:colOff>
      <xdr:row>10</xdr:row>
      <xdr:rowOff>0</xdr:rowOff>
    </xdr:from>
    <xdr:to>
      <xdr:col>42</xdr:col>
      <xdr:colOff>457200</xdr:colOff>
      <xdr:row>26</xdr:row>
      <xdr:rowOff>0</xdr:rowOff>
    </xdr:to>
    <xdr:graphicFrame macro="">
      <xdr:nvGraphicFramePr>
        <xdr:cNvPr id="50" name="グラフ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29</xdr:row>
      <xdr:rowOff>0</xdr:rowOff>
    </xdr:from>
    <xdr:to>
      <xdr:col>42</xdr:col>
      <xdr:colOff>457200</xdr:colOff>
      <xdr:row>45</xdr:row>
      <xdr:rowOff>0</xdr:rowOff>
    </xdr:to>
    <xdr:graphicFrame macro="">
      <xdr:nvGraphicFramePr>
        <xdr:cNvPr id="51" name="グラフ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19</xdr:col>
      <xdr:colOff>457200</xdr:colOff>
      <xdr:row>30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14</xdr:row>
      <xdr:rowOff>0</xdr:rowOff>
    </xdr:from>
    <xdr:to>
      <xdr:col>40</xdr:col>
      <xdr:colOff>457200</xdr:colOff>
      <xdr:row>30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7"/>
  <sheetViews>
    <sheetView tabSelected="1" workbookViewId="0"/>
  </sheetViews>
  <sheetFormatPr defaultRowHeight="13.5"/>
  <cols>
    <col min="1" max="1" width="3.125" style="2" customWidth="1"/>
    <col min="2" max="2" width="9" style="2"/>
    <col min="3" max="3" width="9" style="2" customWidth="1"/>
    <col min="4" max="6" width="9.25" style="2" bestFit="1" customWidth="1"/>
    <col min="7" max="15" width="9" style="2"/>
    <col min="16" max="16" width="3.125" style="2" customWidth="1"/>
    <col min="17" max="16384" width="9" style="2"/>
  </cols>
  <sheetData>
    <row r="1" spans="1:21">
      <c r="A1" s="64" t="s">
        <v>403</v>
      </c>
    </row>
    <row r="3" spans="1:21">
      <c r="A3" s="2" t="s">
        <v>20</v>
      </c>
    </row>
    <row r="4" spans="1:21">
      <c r="L4" s="6"/>
    </row>
    <row r="5" spans="1:21">
      <c r="A5" s="6" t="s">
        <v>55</v>
      </c>
      <c r="L5" s="6"/>
      <c r="P5" s="7" t="s">
        <v>56</v>
      </c>
      <c r="Q5" s="6"/>
      <c r="R5" s="7"/>
      <c r="S5" s="7"/>
      <c r="T5" s="7"/>
      <c r="U5" s="7"/>
    </row>
    <row r="6" spans="1:21">
      <c r="P6" s="6"/>
      <c r="Q6" s="6"/>
      <c r="R6" s="7"/>
      <c r="S6" s="7"/>
      <c r="T6" s="7"/>
      <c r="U6" s="7"/>
    </row>
    <row r="7" spans="1:21">
      <c r="B7" s="2" t="s">
        <v>6</v>
      </c>
      <c r="Q7" s="2" t="s">
        <v>6</v>
      </c>
    </row>
    <row r="8" spans="1:21">
      <c r="A8" s="4"/>
      <c r="B8" s="21" t="s">
        <v>19</v>
      </c>
      <c r="C8" s="22" t="s">
        <v>84</v>
      </c>
      <c r="D8" s="22" t="s">
        <v>85</v>
      </c>
      <c r="E8" s="11" t="s">
        <v>86</v>
      </c>
      <c r="F8" s="11" t="s">
        <v>87</v>
      </c>
      <c r="P8" s="4"/>
      <c r="Q8" s="21" t="s">
        <v>19</v>
      </c>
      <c r="R8" s="22" t="s">
        <v>84</v>
      </c>
      <c r="S8" s="22" t="s">
        <v>85</v>
      </c>
      <c r="T8" s="11" t="s">
        <v>86</v>
      </c>
      <c r="U8" s="11" t="s">
        <v>87</v>
      </c>
    </row>
    <row r="9" spans="1:21">
      <c r="A9" s="5">
        <f>1</f>
        <v>1</v>
      </c>
      <c r="B9" s="5" t="s">
        <v>89</v>
      </c>
      <c r="C9" s="1">
        <v>1356387</v>
      </c>
      <c r="D9" s="1">
        <v>0</v>
      </c>
      <c r="E9" s="1">
        <v>0</v>
      </c>
      <c r="F9" s="1">
        <v>1706618</v>
      </c>
      <c r="P9" s="5">
        <f>1</f>
        <v>1</v>
      </c>
      <c r="Q9" s="5" t="s">
        <v>89</v>
      </c>
      <c r="R9" s="1">
        <v>399</v>
      </c>
      <c r="S9" s="1">
        <v>0</v>
      </c>
      <c r="T9" s="1">
        <v>0</v>
      </c>
      <c r="U9" s="1">
        <v>603</v>
      </c>
    </row>
    <row r="10" spans="1:21">
      <c r="A10" s="5">
        <f t="shared" ref="A10:A20" si="0">A9+1</f>
        <v>2</v>
      </c>
      <c r="B10" s="5" t="s">
        <v>90</v>
      </c>
      <c r="C10" s="1">
        <v>1556871</v>
      </c>
      <c r="D10" s="1">
        <v>0</v>
      </c>
      <c r="E10" s="1">
        <v>0</v>
      </c>
      <c r="F10" s="1">
        <v>1307053</v>
      </c>
      <c r="P10" s="5">
        <f t="shared" ref="P10:P20" si="1">P9+1</f>
        <v>2</v>
      </c>
      <c r="Q10" s="5" t="s">
        <v>90</v>
      </c>
      <c r="R10" s="1">
        <v>633</v>
      </c>
      <c r="S10" s="1">
        <v>0</v>
      </c>
      <c r="T10" s="1">
        <v>0</v>
      </c>
      <c r="U10" s="1">
        <v>494</v>
      </c>
    </row>
    <row r="11" spans="1:21">
      <c r="A11" s="5">
        <f t="shared" si="0"/>
        <v>3</v>
      </c>
      <c r="B11" s="5" t="s">
        <v>65</v>
      </c>
      <c r="C11" s="1">
        <v>2046118</v>
      </c>
      <c r="D11" s="1">
        <v>0</v>
      </c>
      <c r="E11" s="1">
        <v>0</v>
      </c>
      <c r="F11" s="1">
        <v>0</v>
      </c>
      <c r="P11" s="5">
        <f t="shared" si="1"/>
        <v>3</v>
      </c>
      <c r="Q11" s="5" t="s">
        <v>65</v>
      </c>
      <c r="R11" s="1">
        <v>771</v>
      </c>
      <c r="S11" s="1">
        <v>0</v>
      </c>
      <c r="T11" s="1">
        <v>0</v>
      </c>
      <c r="U11" s="1">
        <v>0</v>
      </c>
    </row>
    <row r="12" spans="1:21">
      <c r="A12" s="5">
        <f t="shared" si="0"/>
        <v>4</v>
      </c>
      <c r="B12" s="5" t="s">
        <v>64</v>
      </c>
      <c r="C12" s="1">
        <v>1640202</v>
      </c>
      <c r="D12" s="1">
        <v>1319838</v>
      </c>
      <c r="E12" s="1">
        <v>0</v>
      </c>
      <c r="F12" s="1">
        <v>0</v>
      </c>
      <c r="P12" s="5">
        <f t="shared" si="1"/>
        <v>4</v>
      </c>
      <c r="Q12" s="5" t="s">
        <v>64</v>
      </c>
      <c r="R12" s="1">
        <v>537</v>
      </c>
      <c r="S12" s="1">
        <v>357</v>
      </c>
      <c r="T12" s="1">
        <v>0</v>
      </c>
      <c r="U12" s="1">
        <v>0</v>
      </c>
    </row>
    <row r="13" spans="1:21">
      <c r="A13" s="5">
        <f t="shared" si="0"/>
        <v>5</v>
      </c>
      <c r="B13" s="5" t="s">
        <v>67</v>
      </c>
      <c r="C13" s="1">
        <v>1321009</v>
      </c>
      <c r="D13" s="1">
        <v>1503301</v>
      </c>
      <c r="E13" s="1">
        <v>0</v>
      </c>
      <c r="F13" s="1">
        <v>0</v>
      </c>
      <c r="P13" s="5">
        <f t="shared" si="1"/>
        <v>5</v>
      </c>
      <c r="Q13" s="5" t="s">
        <v>67</v>
      </c>
      <c r="R13" s="1">
        <v>498</v>
      </c>
      <c r="S13" s="1">
        <v>564</v>
      </c>
      <c r="T13" s="1">
        <v>0</v>
      </c>
      <c r="U13" s="1">
        <v>0</v>
      </c>
    </row>
    <row r="14" spans="1:21">
      <c r="A14" s="5">
        <f t="shared" si="0"/>
        <v>6</v>
      </c>
      <c r="B14" s="5" t="s">
        <v>68</v>
      </c>
      <c r="C14" s="1">
        <v>0</v>
      </c>
      <c r="D14" s="1">
        <v>2045599</v>
      </c>
      <c r="E14" s="1">
        <v>0</v>
      </c>
      <c r="F14" s="1">
        <v>0</v>
      </c>
      <c r="P14" s="5">
        <f t="shared" si="1"/>
        <v>6</v>
      </c>
      <c r="Q14" s="5" t="s">
        <v>68</v>
      </c>
      <c r="R14" s="1">
        <v>0</v>
      </c>
      <c r="S14" s="1">
        <v>780</v>
      </c>
      <c r="T14" s="1">
        <v>0</v>
      </c>
      <c r="U14" s="1">
        <v>0</v>
      </c>
    </row>
    <row r="15" spans="1:21">
      <c r="A15" s="5">
        <f t="shared" si="0"/>
        <v>7</v>
      </c>
      <c r="B15" s="5" t="s">
        <v>69</v>
      </c>
      <c r="C15" s="1">
        <v>0</v>
      </c>
      <c r="D15" s="1">
        <v>1599146</v>
      </c>
      <c r="E15" s="1">
        <v>1286249</v>
      </c>
      <c r="F15" s="1">
        <v>0</v>
      </c>
      <c r="P15" s="5">
        <f t="shared" si="1"/>
        <v>7</v>
      </c>
      <c r="Q15" s="5" t="s">
        <v>69</v>
      </c>
      <c r="R15" s="1">
        <v>0</v>
      </c>
      <c r="S15" s="1">
        <v>618</v>
      </c>
      <c r="T15" s="1">
        <v>437</v>
      </c>
      <c r="U15" s="1">
        <v>0</v>
      </c>
    </row>
    <row r="16" spans="1:21">
      <c r="A16" s="5">
        <f t="shared" si="0"/>
        <v>8</v>
      </c>
      <c r="B16" s="5" t="s">
        <v>70</v>
      </c>
      <c r="C16" s="1">
        <v>0</v>
      </c>
      <c r="D16" s="1">
        <v>1258312</v>
      </c>
      <c r="E16" s="1">
        <v>1501571</v>
      </c>
      <c r="F16" s="1">
        <v>0</v>
      </c>
      <c r="P16" s="5">
        <f t="shared" si="1"/>
        <v>8</v>
      </c>
      <c r="Q16" s="5" t="s">
        <v>70</v>
      </c>
      <c r="R16" s="1">
        <v>0</v>
      </c>
      <c r="S16" s="1">
        <v>458</v>
      </c>
      <c r="T16" s="1">
        <v>563</v>
      </c>
      <c r="U16" s="1">
        <v>0</v>
      </c>
    </row>
    <row r="17" spans="1:21">
      <c r="A17" s="5">
        <f t="shared" si="0"/>
        <v>9</v>
      </c>
      <c r="B17" s="5" t="s">
        <v>71</v>
      </c>
      <c r="C17" s="1">
        <v>0</v>
      </c>
      <c r="D17" s="1">
        <v>0</v>
      </c>
      <c r="E17" s="1">
        <v>2001892</v>
      </c>
      <c r="F17" s="1">
        <v>0</v>
      </c>
      <c r="P17" s="5">
        <f t="shared" si="1"/>
        <v>9</v>
      </c>
      <c r="Q17" s="5" t="s">
        <v>71</v>
      </c>
      <c r="R17" s="1">
        <v>0</v>
      </c>
      <c r="S17" s="1">
        <v>0</v>
      </c>
      <c r="T17" s="1">
        <v>764</v>
      </c>
      <c r="U17" s="1">
        <v>0</v>
      </c>
    </row>
    <row r="18" spans="1:21">
      <c r="A18" s="5">
        <f t="shared" si="0"/>
        <v>10</v>
      </c>
      <c r="B18" s="5" t="s">
        <v>72</v>
      </c>
      <c r="C18" s="1">
        <v>0</v>
      </c>
      <c r="D18" s="1">
        <v>0</v>
      </c>
      <c r="E18" s="1">
        <v>1752583</v>
      </c>
      <c r="F18" s="1">
        <v>1050044</v>
      </c>
      <c r="P18" s="5">
        <f t="shared" si="1"/>
        <v>10</v>
      </c>
      <c r="Q18" s="5" t="s">
        <v>72</v>
      </c>
      <c r="R18" s="1">
        <v>0</v>
      </c>
      <c r="S18" s="1">
        <v>0</v>
      </c>
      <c r="T18" s="1">
        <v>596</v>
      </c>
      <c r="U18" s="1">
        <v>350</v>
      </c>
    </row>
    <row r="19" spans="1:21">
      <c r="A19" s="5">
        <f t="shared" si="0"/>
        <v>11</v>
      </c>
      <c r="B19" s="5" t="s">
        <v>73</v>
      </c>
      <c r="C19" s="1">
        <v>0</v>
      </c>
      <c r="D19" s="1">
        <v>0</v>
      </c>
      <c r="E19" s="1">
        <v>1472034</v>
      </c>
      <c r="F19" s="1">
        <v>1854566</v>
      </c>
      <c r="P19" s="5">
        <f t="shared" si="1"/>
        <v>11</v>
      </c>
      <c r="Q19" s="5" t="s">
        <v>73</v>
      </c>
      <c r="R19" s="1">
        <v>0</v>
      </c>
      <c r="S19" s="1">
        <v>0</v>
      </c>
      <c r="T19" s="1">
        <v>341</v>
      </c>
      <c r="U19" s="1">
        <v>642</v>
      </c>
    </row>
    <row r="20" spans="1:21">
      <c r="A20" s="5">
        <f t="shared" si="0"/>
        <v>12</v>
      </c>
      <c r="B20" s="5" t="s">
        <v>74</v>
      </c>
      <c r="C20" s="1">
        <v>0</v>
      </c>
      <c r="D20" s="1">
        <v>0</v>
      </c>
      <c r="E20" s="1">
        <v>0</v>
      </c>
      <c r="F20" s="1">
        <v>2133512</v>
      </c>
      <c r="P20" s="5">
        <f t="shared" si="1"/>
        <v>12</v>
      </c>
      <c r="Q20" s="5" t="s">
        <v>74</v>
      </c>
      <c r="R20" s="1">
        <v>0</v>
      </c>
      <c r="S20" s="1">
        <v>0</v>
      </c>
      <c r="T20" s="1">
        <v>0</v>
      </c>
      <c r="U20" s="1">
        <v>670</v>
      </c>
    </row>
    <row r="21" spans="1:21">
      <c r="A21" s="6"/>
      <c r="B21" s="6"/>
      <c r="C21" s="7"/>
      <c r="D21" s="7"/>
      <c r="E21" s="7"/>
      <c r="F21" s="7"/>
      <c r="G21" s="7"/>
      <c r="H21" s="7"/>
      <c r="I21" s="7"/>
      <c r="J21" s="7"/>
    </row>
    <row r="22" spans="1:21">
      <c r="A22" s="6"/>
      <c r="B22" s="6"/>
      <c r="C22" s="7"/>
      <c r="D22" s="7"/>
      <c r="E22" s="7"/>
      <c r="F22" s="7"/>
      <c r="G22" s="7"/>
      <c r="H22" s="7"/>
      <c r="I22" s="7"/>
      <c r="J22" s="7"/>
    </row>
    <row r="23" spans="1:21">
      <c r="B23" s="6"/>
      <c r="C23" s="7"/>
      <c r="D23" s="7"/>
      <c r="E23" s="7"/>
      <c r="F23" s="7"/>
      <c r="G23" s="7"/>
      <c r="H23" s="7"/>
      <c r="J23" s="7"/>
    </row>
    <row r="24" spans="1:21">
      <c r="A24" s="6"/>
      <c r="B24" s="6"/>
      <c r="C24" s="7"/>
      <c r="D24" s="7"/>
      <c r="E24" s="7"/>
      <c r="F24" s="7"/>
      <c r="G24" s="7"/>
      <c r="H24" s="7"/>
      <c r="I24" s="7"/>
      <c r="J24" s="7"/>
    </row>
    <row r="25" spans="1:21">
      <c r="A25" s="6"/>
      <c r="B25" s="6"/>
      <c r="C25" s="7"/>
      <c r="D25" s="7"/>
      <c r="E25" s="7"/>
      <c r="F25" s="7"/>
      <c r="G25" s="7"/>
      <c r="H25" s="7"/>
      <c r="I25" s="7"/>
      <c r="J25" s="7"/>
    </row>
    <row r="26" spans="1:21">
      <c r="G26" s="7"/>
      <c r="H26" s="7"/>
      <c r="I26" s="7"/>
      <c r="J26" s="7"/>
    </row>
    <row r="27" spans="1:21">
      <c r="G27" s="7"/>
      <c r="H27" s="7"/>
      <c r="J27" s="7"/>
    </row>
    <row r="42" spans="5:8">
      <c r="E42" s="3"/>
      <c r="F42" s="3"/>
      <c r="G42" s="3"/>
      <c r="H42" s="3"/>
    </row>
    <row r="43" spans="5:8">
      <c r="E43" s="3"/>
      <c r="F43" s="3"/>
      <c r="G43" s="3"/>
      <c r="H43" s="3"/>
    </row>
    <row r="44" spans="5:8">
      <c r="E44" s="3"/>
      <c r="F44" s="3"/>
      <c r="G44" s="3"/>
      <c r="H44" s="3"/>
    </row>
    <row r="45" spans="5:8">
      <c r="E45" s="3"/>
      <c r="F45" s="3"/>
      <c r="G45" s="3"/>
      <c r="H45" s="3"/>
    </row>
    <row r="46" spans="5:8">
      <c r="E46" s="3"/>
      <c r="F46" s="3"/>
      <c r="G46" s="3"/>
      <c r="H46" s="3"/>
    </row>
    <row r="47" spans="5:8">
      <c r="E47" s="3"/>
      <c r="F47" s="3"/>
      <c r="G47" s="3"/>
      <c r="H47" s="3"/>
    </row>
    <row r="48" spans="5:8">
      <c r="E48" s="3"/>
      <c r="F48" s="3"/>
      <c r="G48" s="3"/>
      <c r="H48" s="3"/>
    </row>
    <row r="49" spans="5:8">
      <c r="E49" s="3"/>
      <c r="F49" s="3"/>
      <c r="G49" s="3"/>
      <c r="H49" s="3"/>
    </row>
    <row r="50" spans="5:8">
      <c r="E50" s="3"/>
      <c r="F50" s="3"/>
      <c r="G50" s="3"/>
      <c r="H50" s="3"/>
    </row>
    <row r="51" spans="5:8">
      <c r="E51" s="3"/>
      <c r="F51" s="3"/>
      <c r="G51" s="3"/>
      <c r="H51" s="3"/>
    </row>
    <row r="52" spans="5:8">
      <c r="E52" s="3"/>
      <c r="F52" s="3"/>
      <c r="G52" s="3"/>
      <c r="H52" s="3"/>
    </row>
    <row r="53" spans="5:8">
      <c r="E53" s="3"/>
      <c r="F53" s="3"/>
      <c r="G53" s="3"/>
      <c r="H53" s="3"/>
    </row>
    <row r="54" spans="5:8">
      <c r="E54" s="3"/>
      <c r="F54" s="3"/>
      <c r="G54" s="3"/>
      <c r="H54" s="3"/>
    </row>
    <row r="55" spans="5:8">
      <c r="E55" s="3"/>
      <c r="F55" s="3"/>
      <c r="G55" s="3"/>
      <c r="H55" s="3"/>
    </row>
    <row r="56" spans="5:8">
      <c r="E56" s="3"/>
      <c r="F56" s="3"/>
      <c r="G56" s="3"/>
      <c r="H56" s="3"/>
    </row>
    <row r="57" spans="5:8">
      <c r="E57" s="3"/>
      <c r="F57" s="3"/>
      <c r="G57" s="3"/>
      <c r="H57" s="3"/>
    </row>
    <row r="58" spans="5:8">
      <c r="E58" s="3"/>
      <c r="F58" s="3"/>
      <c r="G58" s="3"/>
      <c r="H58" s="3"/>
    </row>
    <row r="59" spans="5:8">
      <c r="E59" s="3"/>
      <c r="F59" s="3"/>
      <c r="G59" s="3"/>
      <c r="H59" s="3"/>
    </row>
    <row r="60" spans="5:8">
      <c r="E60" s="3"/>
      <c r="F60" s="3"/>
      <c r="G60" s="3"/>
      <c r="H60" s="3"/>
    </row>
    <row r="61" spans="5:8">
      <c r="E61" s="3"/>
      <c r="F61" s="3"/>
      <c r="G61" s="3"/>
      <c r="H61" s="3"/>
    </row>
    <row r="62" spans="5:8">
      <c r="E62" s="3"/>
      <c r="F62" s="3"/>
      <c r="G62" s="3"/>
      <c r="H62" s="3"/>
    </row>
    <row r="63" spans="5:8">
      <c r="E63" s="3"/>
      <c r="F63" s="3"/>
      <c r="G63" s="3"/>
      <c r="H63" s="3"/>
    </row>
    <row r="64" spans="5:8">
      <c r="E64" s="3"/>
      <c r="F64" s="3"/>
      <c r="G64" s="3"/>
      <c r="H64" s="3"/>
    </row>
    <row r="65" spans="5:8">
      <c r="E65" s="3"/>
      <c r="F65" s="3"/>
      <c r="G65" s="3"/>
      <c r="H65" s="3"/>
    </row>
    <row r="66" spans="5:8">
      <c r="E66" s="3"/>
      <c r="F66" s="3"/>
      <c r="G66" s="3"/>
      <c r="H66" s="3"/>
    </row>
    <row r="67" spans="5:8">
      <c r="E67" s="3"/>
      <c r="F67" s="3"/>
      <c r="G67" s="3"/>
      <c r="H67" s="3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T37"/>
  <sheetViews>
    <sheetView workbookViewId="0"/>
  </sheetViews>
  <sheetFormatPr defaultRowHeight="13.5"/>
  <cols>
    <col min="1" max="1" width="3.125" customWidth="1"/>
    <col min="28" max="28" width="9" customWidth="1"/>
  </cols>
  <sheetData>
    <row r="2" spans="1:98">
      <c r="A2" t="s">
        <v>91</v>
      </c>
      <c r="AY2" t="s">
        <v>21</v>
      </c>
      <c r="BI2" t="s">
        <v>170</v>
      </c>
      <c r="BS2" t="s">
        <v>171</v>
      </c>
      <c r="CC2" t="s">
        <v>22</v>
      </c>
      <c r="CM2" t="s">
        <v>176</v>
      </c>
    </row>
    <row r="3" spans="1:98">
      <c r="A3" t="s">
        <v>92</v>
      </c>
    </row>
    <row r="4" spans="1:98">
      <c r="AR4" s="16" t="s">
        <v>13</v>
      </c>
    </row>
    <row r="5" spans="1:98">
      <c r="B5" t="s">
        <v>6</v>
      </c>
      <c r="D5" t="s">
        <v>93</v>
      </c>
      <c r="T5" t="s">
        <v>167</v>
      </c>
      <c r="AJ5" t="s">
        <v>104</v>
      </c>
      <c r="AN5" t="s">
        <v>165</v>
      </c>
      <c r="AR5" s="17">
        <v>0.1</v>
      </c>
      <c r="AS5" t="s">
        <v>166</v>
      </c>
      <c r="AY5" s="2" t="s">
        <v>169</v>
      </c>
      <c r="BI5" s="2" t="s">
        <v>172</v>
      </c>
      <c r="BS5" s="2" t="s">
        <v>173</v>
      </c>
      <c r="CC5" s="2" t="s">
        <v>174</v>
      </c>
      <c r="CM5" s="2" t="s">
        <v>175</v>
      </c>
    </row>
    <row r="6" spans="1:98">
      <c r="A6" s="16"/>
      <c r="B6" s="18"/>
      <c r="C6" s="18"/>
      <c r="D6" s="18" t="s">
        <v>103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6" t="s">
        <v>160</v>
      </c>
      <c r="Q6" s="16" t="s">
        <v>161</v>
      </c>
      <c r="R6" s="16" t="s">
        <v>162</v>
      </c>
      <c r="S6" s="16" t="s">
        <v>163</v>
      </c>
      <c r="T6" s="16" t="s">
        <v>99</v>
      </c>
      <c r="U6" s="16" t="s">
        <v>164</v>
      </c>
      <c r="V6" s="16"/>
      <c r="W6" s="16" t="s">
        <v>101</v>
      </c>
      <c r="X6" s="16"/>
      <c r="Y6" s="16"/>
      <c r="Z6" s="16"/>
      <c r="AA6" s="16"/>
      <c r="AB6" s="16" t="s">
        <v>10</v>
      </c>
      <c r="AC6" s="16"/>
      <c r="AD6" s="16"/>
      <c r="AE6" s="16"/>
      <c r="AF6" s="16" t="s">
        <v>5</v>
      </c>
      <c r="AG6" s="16"/>
      <c r="AH6" s="16"/>
      <c r="AI6" s="16"/>
      <c r="AJ6" s="16" t="s">
        <v>11</v>
      </c>
      <c r="AK6" s="16"/>
      <c r="AL6" s="16"/>
      <c r="AM6" s="16"/>
      <c r="AN6" s="16" t="s">
        <v>12</v>
      </c>
      <c r="AO6" s="16"/>
      <c r="AP6" s="16"/>
      <c r="AQ6" s="16"/>
      <c r="AR6" s="16" t="s">
        <v>57</v>
      </c>
      <c r="AS6" s="16"/>
      <c r="AT6" s="16"/>
      <c r="AU6" s="16"/>
      <c r="AV6" s="16" t="s">
        <v>99</v>
      </c>
      <c r="AY6" s="10"/>
      <c r="AZ6" s="10"/>
      <c r="BA6" s="10"/>
      <c r="BB6" s="10" t="s">
        <v>57</v>
      </c>
      <c r="BC6" s="10"/>
      <c r="BD6" s="10"/>
      <c r="BE6" s="10"/>
      <c r="BF6" s="10" t="s">
        <v>99</v>
      </c>
      <c r="BI6" s="10"/>
      <c r="BJ6" s="10"/>
      <c r="BK6" s="10"/>
      <c r="BL6" s="10" t="s">
        <v>57</v>
      </c>
      <c r="BM6" s="10"/>
      <c r="BN6" s="10"/>
      <c r="BO6" s="10"/>
      <c r="BP6" s="10" t="s">
        <v>99</v>
      </c>
      <c r="BS6" s="10"/>
      <c r="BT6" s="10"/>
      <c r="BU6" s="10"/>
      <c r="BV6" s="10" t="s">
        <v>57</v>
      </c>
      <c r="BW6" s="10"/>
      <c r="BX6" s="10"/>
      <c r="BY6" s="10"/>
      <c r="BZ6" s="10" t="s">
        <v>99</v>
      </c>
      <c r="CC6" s="10"/>
      <c r="CD6" s="10"/>
      <c r="CE6" s="10"/>
      <c r="CF6" s="10" t="s">
        <v>57</v>
      </c>
      <c r="CG6" s="10"/>
      <c r="CH6" s="10"/>
      <c r="CI6" s="10"/>
      <c r="CJ6" s="10" t="s">
        <v>99</v>
      </c>
      <c r="CM6" s="10"/>
      <c r="CN6" s="10"/>
      <c r="CO6" s="10"/>
      <c r="CP6" s="10" t="s">
        <v>57</v>
      </c>
      <c r="CQ6" s="10"/>
      <c r="CR6" s="10"/>
      <c r="CS6" s="10"/>
      <c r="CT6" s="10" t="s">
        <v>99</v>
      </c>
    </row>
    <row r="7" spans="1:98">
      <c r="A7" s="16"/>
      <c r="B7" s="18" t="s">
        <v>2</v>
      </c>
      <c r="C7" s="18" t="s">
        <v>3</v>
      </c>
      <c r="D7" s="18" t="s">
        <v>66</v>
      </c>
      <c r="E7" s="18" t="s">
        <v>64</v>
      </c>
      <c r="F7" s="18" t="s">
        <v>67</v>
      </c>
      <c r="G7" s="18" t="s">
        <v>68</v>
      </c>
      <c r="H7" s="18" t="s">
        <v>69</v>
      </c>
      <c r="I7" s="18" t="s">
        <v>70</v>
      </c>
      <c r="J7" s="18" t="s">
        <v>71</v>
      </c>
      <c r="K7" s="18" t="s">
        <v>72</v>
      </c>
      <c r="L7" s="18" t="s">
        <v>73</v>
      </c>
      <c r="M7" s="18" t="s">
        <v>75</v>
      </c>
      <c r="N7" s="18" t="s">
        <v>62</v>
      </c>
      <c r="O7" s="18" t="s">
        <v>63</v>
      </c>
      <c r="P7" s="16" t="s">
        <v>94</v>
      </c>
      <c r="Q7" s="16" t="s">
        <v>95</v>
      </c>
      <c r="R7" s="16" t="s">
        <v>96</v>
      </c>
      <c r="S7" s="16" t="s">
        <v>97</v>
      </c>
      <c r="T7" s="16" t="s">
        <v>98</v>
      </c>
      <c r="U7" s="16" t="s">
        <v>7</v>
      </c>
      <c r="V7" s="16" t="s">
        <v>9</v>
      </c>
      <c r="W7" s="16" t="s">
        <v>94</v>
      </c>
      <c r="X7" s="16" t="s">
        <v>95</v>
      </c>
      <c r="Y7" s="16" t="s">
        <v>96</v>
      </c>
      <c r="Z7" s="16" t="s">
        <v>97</v>
      </c>
      <c r="AA7" s="16" t="s">
        <v>100</v>
      </c>
      <c r="AB7" s="16" t="s">
        <v>94</v>
      </c>
      <c r="AC7" s="16" t="s">
        <v>95</v>
      </c>
      <c r="AD7" s="16" t="s">
        <v>96</v>
      </c>
      <c r="AE7" s="16" t="s">
        <v>97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94</v>
      </c>
      <c r="AK7" s="16" t="s">
        <v>95</v>
      </c>
      <c r="AL7" s="16" t="s">
        <v>96</v>
      </c>
      <c r="AM7" s="16" t="s">
        <v>97</v>
      </c>
      <c r="AN7" s="16" t="s">
        <v>94</v>
      </c>
      <c r="AO7" s="16" t="s">
        <v>95</v>
      </c>
      <c r="AP7" s="16" t="s">
        <v>96</v>
      </c>
      <c r="AQ7" s="16" t="s">
        <v>97</v>
      </c>
      <c r="AR7" s="16" t="s">
        <v>94</v>
      </c>
      <c r="AS7" s="16" t="s">
        <v>95</v>
      </c>
      <c r="AT7" s="16" t="s">
        <v>96</v>
      </c>
      <c r="AU7" s="16" t="s">
        <v>97</v>
      </c>
      <c r="AV7" s="16" t="s">
        <v>98</v>
      </c>
      <c r="AY7" s="10" t="s">
        <v>2</v>
      </c>
      <c r="AZ7" s="10" t="s">
        <v>3</v>
      </c>
      <c r="BA7" s="10" t="s">
        <v>0</v>
      </c>
      <c r="BB7" s="10" t="s">
        <v>94</v>
      </c>
      <c r="BC7" s="10" t="s">
        <v>95</v>
      </c>
      <c r="BD7" s="10" t="s">
        <v>96</v>
      </c>
      <c r="BE7" s="10" t="s">
        <v>97</v>
      </c>
      <c r="BF7" s="10" t="s">
        <v>98</v>
      </c>
      <c r="BI7" s="10" t="s">
        <v>2</v>
      </c>
      <c r="BJ7" s="10" t="s">
        <v>3</v>
      </c>
      <c r="BK7" s="10" t="s">
        <v>0</v>
      </c>
      <c r="BL7" s="10" t="s">
        <v>94</v>
      </c>
      <c r="BM7" s="10" t="s">
        <v>95</v>
      </c>
      <c r="BN7" s="10" t="s">
        <v>96</v>
      </c>
      <c r="BO7" s="10" t="s">
        <v>97</v>
      </c>
      <c r="BP7" s="10" t="s">
        <v>98</v>
      </c>
      <c r="BS7" s="10" t="s">
        <v>2</v>
      </c>
      <c r="BT7" s="10" t="s">
        <v>3</v>
      </c>
      <c r="BU7" s="10" t="s">
        <v>0</v>
      </c>
      <c r="BV7" s="10" t="s">
        <v>94</v>
      </c>
      <c r="BW7" s="10" t="s">
        <v>95</v>
      </c>
      <c r="BX7" s="10" t="s">
        <v>96</v>
      </c>
      <c r="BY7" s="10" t="s">
        <v>97</v>
      </c>
      <c r="BZ7" s="10" t="s">
        <v>98</v>
      </c>
      <c r="CC7" s="10" t="s">
        <v>2</v>
      </c>
      <c r="CD7" s="10" t="s">
        <v>3</v>
      </c>
      <c r="CE7" s="10" t="s">
        <v>0</v>
      </c>
      <c r="CF7" s="10" t="s">
        <v>94</v>
      </c>
      <c r="CG7" s="10" t="s">
        <v>95</v>
      </c>
      <c r="CH7" s="10" t="s">
        <v>96</v>
      </c>
      <c r="CI7" s="10" t="s">
        <v>97</v>
      </c>
      <c r="CJ7" s="10" t="s">
        <v>98</v>
      </c>
      <c r="CM7" s="10" t="s">
        <v>2</v>
      </c>
      <c r="CN7" s="10" t="s">
        <v>3</v>
      </c>
      <c r="CO7" s="10" t="s">
        <v>0</v>
      </c>
      <c r="CP7" s="10" t="s">
        <v>94</v>
      </c>
      <c r="CQ7" s="10" t="s">
        <v>95</v>
      </c>
      <c r="CR7" s="10" t="s">
        <v>96</v>
      </c>
      <c r="CS7" s="10" t="s">
        <v>97</v>
      </c>
      <c r="CT7" s="10" t="s">
        <v>98</v>
      </c>
    </row>
    <row r="8" spans="1:98">
      <c r="A8">
        <v>1</v>
      </c>
      <c r="B8">
        <v>8719</v>
      </c>
      <c r="C8" t="s">
        <v>159</v>
      </c>
      <c r="D8">
        <v>22252</v>
      </c>
      <c r="E8">
        <v>19081</v>
      </c>
      <c r="F8">
        <v>11249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10000</v>
      </c>
      <c r="O8">
        <v>17699</v>
      </c>
      <c r="P8">
        <f>D8+E8+F8</f>
        <v>52582</v>
      </c>
      <c r="Q8">
        <f>G8+H8+I8</f>
        <v>0</v>
      </c>
      <c r="R8">
        <f>J8+K8+L8</f>
        <v>0</v>
      </c>
      <c r="S8">
        <f>M8+N8+O8</f>
        <v>27699</v>
      </c>
      <c r="T8" s="17">
        <f>SUM(D8:O8)</f>
        <v>80281</v>
      </c>
      <c r="U8">
        <v>3</v>
      </c>
      <c r="V8">
        <f>U8-1</f>
        <v>2</v>
      </c>
      <c r="W8">
        <f>P8/$U8</f>
        <v>17527.333333333332</v>
      </c>
      <c r="X8">
        <f>Q8/$U8</f>
        <v>0</v>
      </c>
      <c r="Y8">
        <f>R8/$U8</f>
        <v>0</v>
      </c>
      <c r="Z8">
        <f>S8/$U8</f>
        <v>9233</v>
      </c>
      <c r="AA8">
        <f>AVERAGE(D8:O8)</f>
        <v>6690.083333333333</v>
      </c>
      <c r="AB8">
        <f>W8-$AA8</f>
        <v>10837.25</v>
      </c>
      <c r="AC8">
        <f>X8-$AA8</f>
        <v>-6690.083333333333</v>
      </c>
      <c r="AD8">
        <f>Y8-$AA8</f>
        <v>-6690.083333333333</v>
      </c>
      <c r="AE8">
        <f>Z8-$AA8</f>
        <v>2542.916666666667</v>
      </c>
      <c r="AF8">
        <f>STDEV(D8:F8)</f>
        <v>5663.6483235926044</v>
      </c>
      <c r="AG8">
        <f>STDEV(G8:I8)</f>
        <v>0</v>
      </c>
      <c r="AH8">
        <f>STDEV(J8:L8)</f>
        <v>0</v>
      </c>
      <c r="AI8">
        <f>STDEV(M8:O8)</f>
        <v>8874.3938947964216</v>
      </c>
      <c r="AJ8">
        <f>IF(AF8=0,0,AB8/(AF8/SQRT($V8)))</f>
        <v>2.706062427108118</v>
      </c>
      <c r="AK8">
        <f>IF(AG8=0,0,AC8/(AG8/SQRT($V8)))</f>
        <v>0</v>
      </c>
      <c r="AL8">
        <f>IF(AH8=0,0,AD8/(AH8/SQRT($V8)))</f>
        <v>0</v>
      </c>
      <c r="AM8">
        <f>IF(AI8=0,0,AE8/(AI8/SQRT($V8)))</f>
        <v>0.40523637789993333</v>
      </c>
      <c r="AN8">
        <f>TDIST(ABS(AJ8),$V8,1)</f>
        <v>5.6865828932438509E-2</v>
      </c>
      <c r="AO8">
        <f t="shared" ref="AO8:AO37" si="0">TDIST(ABS(AK8),$V8,1)</f>
        <v>0.5</v>
      </c>
      <c r="AP8">
        <f t="shared" ref="AP8:AP37" si="1">TDIST(ABS(AL8),$V8,1)</f>
        <v>0.5</v>
      </c>
      <c r="AQ8">
        <f t="shared" ref="AQ8:AQ37" si="2">TDIST(ABS(AM8),$V8,1)</f>
        <v>0.36227014981763112</v>
      </c>
      <c r="AR8" s="17">
        <f>IF(AN8&lt;=$AR$5,1,0)</f>
        <v>1</v>
      </c>
      <c r="AS8" s="17">
        <f t="shared" ref="AS8:AS37" si="3">IF(AO8&lt;=$AR$5,1,0)</f>
        <v>0</v>
      </c>
      <c r="AT8" s="17">
        <f t="shared" ref="AT8:AT37" si="4">IF(AP8&lt;=$AR$5,1,0)</f>
        <v>0</v>
      </c>
      <c r="AU8" s="17">
        <f t="shared" ref="AU8:AU37" si="5">IF(AQ8&lt;=$AR$5,1,0)</f>
        <v>0</v>
      </c>
      <c r="AV8" s="17">
        <f>IF(SUM(AR8:AU8)=0,1,0)</f>
        <v>0</v>
      </c>
      <c r="AY8">
        <v>8719</v>
      </c>
      <c r="AZ8" t="s">
        <v>158</v>
      </c>
      <c r="BA8">
        <v>80281</v>
      </c>
      <c r="BB8" s="17">
        <v>1</v>
      </c>
      <c r="BC8">
        <v>0</v>
      </c>
      <c r="BD8">
        <v>0</v>
      </c>
      <c r="BE8">
        <v>0</v>
      </c>
      <c r="BF8">
        <v>0</v>
      </c>
      <c r="BI8">
        <v>9233</v>
      </c>
      <c r="BJ8" t="s">
        <v>148</v>
      </c>
      <c r="BK8">
        <v>84711</v>
      </c>
      <c r="BL8">
        <v>0</v>
      </c>
      <c r="BM8" s="17">
        <v>1</v>
      </c>
      <c r="BN8">
        <v>0</v>
      </c>
      <c r="BO8">
        <v>0</v>
      </c>
      <c r="BP8">
        <v>0</v>
      </c>
      <c r="BS8">
        <v>2793</v>
      </c>
      <c r="BT8" t="s">
        <v>146</v>
      </c>
      <c r="BU8">
        <v>84438</v>
      </c>
      <c r="BV8">
        <v>0</v>
      </c>
      <c r="BW8">
        <v>0</v>
      </c>
      <c r="BX8" s="17">
        <v>1</v>
      </c>
      <c r="BY8">
        <v>0</v>
      </c>
      <c r="BZ8">
        <v>0</v>
      </c>
      <c r="CC8">
        <v>3678</v>
      </c>
      <c r="CD8" t="s">
        <v>120</v>
      </c>
      <c r="CE8">
        <v>79665</v>
      </c>
      <c r="CF8">
        <v>0</v>
      </c>
      <c r="CG8">
        <v>0</v>
      </c>
      <c r="CH8">
        <v>0</v>
      </c>
      <c r="CI8" s="17">
        <v>1</v>
      </c>
      <c r="CJ8">
        <v>0</v>
      </c>
      <c r="CM8">
        <v>7290</v>
      </c>
      <c r="CN8" t="s">
        <v>141</v>
      </c>
      <c r="CO8">
        <v>154970</v>
      </c>
      <c r="CP8">
        <v>0</v>
      </c>
      <c r="CQ8">
        <v>0</v>
      </c>
      <c r="CR8">
        <v>0</v>
      </c>
      <c r="CS8">
        <v>0</v>
      </c>
      <c r="CT8" s="17">
        <v>1</v>
      </c>
    </row>
    <row r="9" spans="1:98">
      <c r="A9">
        <f>A8+1</f>
        <v>2</v>
      </c>
      <c r="B9">
        <v>6290</v>
      </c>
      <c r="C9" t="s">
        <v>128</v>
      </c>
      <c r="D9">
        <v>21716</v>
      </c>
      <c r="E9">
        <v>15413</v>
      </c>
      <c r="F9">
        <v>12189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12323</v>
      </c>
      <c r="O9">
        <v>18998</v>
      </c>
      <c r="P9">
        <f t="shared" ref="P9:P37" si="6">D9+E9+F9</f>
        <v>49318</v>
      </c>
      <c r="Q9">
        <f t="shared" ref="Q9:Q37" si="7">G9+H9+I9</f>
        <v>0</v>
      </c>
      <c r="R9">
        <f t="shared" ref="R9:R37" si="8">J9+K9+L9</f>
        <v>0</v>
      </c>
      <c r="S9">
        <f t="shared" ref="S9:S37" si="9">M9+N9+O9</f>
        <v>31321</v>
      </c>
      <c r="T9" s="17">
        <f t="shared" ref="T9:T37" si="10">SUM(D9:O9)</f>
        <v>80639</v>
      </c>
      <c r="U9">
        <v>3</v>
      </c>
      <c r="V9">
        <f t="shared" ref="V9:V37" si="11">U9-1</f>
        <v>2</v>
      </c>
      <c r="W9">
        <f t="shared" ref="W9:W37" si="12">P9/$U9</f>
        <v>16439.333333333332</v>
      </c>
      <c r="X9">
        <f t="shared" ref="X9:X37" si="13">Q9/$U9</f>
        <v>0</v>
      </c>
      <c r="Y9">
        <f t="shared" ref="Y9:Y37" si="14">R9/$U9</f>
        <v>0</v>
      </c>
      <c r="Z9">
        <f t="shared" ref="Z9:Z37" si="15">S9/$U9</f>
        <v>10440.333333333334</v>
      </c>
      <c r="AA9">
        <f t="shared" ref="AA9:AA37" si="16">AVERAGE(D9:O9)</f>
        <v>6719.916666666667</v>
      </c>
      <c r="AB9">
        <f t="shared" ref="AB9:AB37" si="17">W9-$AA9</f>
        <v>9719.4166666666642</v>
      </c>
      <c r="AC9">
        <f t="shared" ref="AC9:AC37" si="18">X9-$AA9</f>
        <v>-6719.916666666667</v>
      </c>
      <c r="AD9">
        <f t="shared" ref="AD9:AD37" si="19">Y9-$AA9</f>
        <v>-6719.916666666667</v>
      </c>
      <c r="AE9">
        <f t="shared" ref="AE9:AE37" si="20">Z9-$AA9</f>
        <v>3720.416666666667</v>
      </c>
      <c r="AF9">
        <f t="shared" ref="AF9:AF37" si="21">STDEV(D9:F9)</f>
        <v>4845.7148423461022</v>
      </c>
      <c r="AG9">
        <f t="shared" ref="AG9:AG37" si="22">STDEV(G9:I9)</f>
        <v>0</v>
      </c>
      <c r="AH9">
        <f t="shared" ref="AH9:AH37" si="23">STDEV(J9:L9)</f>
        <v>0</v>
      </c>
      <c r="AI9">
        <f t="shared" ref="AI9:AI37" si="24">STDEV(M9:O9)</f>
        <v>9637.9108905059584</v>
      </c>
      <c r="AJ9">
        <f t="shared" ref="AJ9:AJ37" si="25">IF(AF9=0,0,AB9/(AF9/SQRT($V9)))</f>
        <v>2.8365950774148638</v>
      </c>
      <c r="AK9">
        <f t="shared" ref="AK9:AK37" si="26">IF(AG9=0,0,AC9/(AG9/SQRT($V9)))</f>
        <v>0</v>
      </c>
      <c r="AL9">
        <f t="shared" ref="AL9:AL37" si="27">IF(AH9=0,0,AD9/(AH9/SQRT($V9)))</f>
        <v>0</v>
      </c>
      <c r="AM9">
        <f t="shared" ref="AM9:AM37" si="28">IF(AI9=0,0,AE9/(AI9/SQRT($V9)))</f>
        <v>0.54591329671472966</v>
      </c>
      <c r="AN9">
        <f t="shared" ref="AN9:AN37" si="29">TDIST(ABS(AJ9),$V9,1)</f>
        <v>5.2529003651264686E-2</v>
      </c>
      <c r="AO9">
        <f t="shared" si="0"/>
        <v>0.5</v>
      </c>
      <c r="AP9">
        <f t="shared" si="1"/>
        <v>0.5</v>
      </c>
      <c r="AQ9">
        <f t="shared" si="2"/>
        <v>0.31994024732399307</v>
      </c>
      <c r="AR9" s="17">
        <f t="shared" ref="AR9:AR37" si="30">IF(AN9&lt;=$AR$5,1,0)</f>
        <v>1</v>
      </c>
      <c r="AS9" s="17">
        <f t="shared" si="3"/>
        <v>0</v>
      </c>
      <c r="AT9" s="17">
        <f t="shared" si="4"/>
        <v>0</v>
      </c>
      <c r="AU9" s="17">
        <f t="shared" si="5"/>
        <v>0</v>
      </c>
      <c r="AV9" s="17">
        <f t="shared" ref="AV9:AV37" si="31">IF(SUM(AR9:AU9)=0,1,0)</f>
        <v>0</v>
      </c>
      <c r="AY9">
        <v>6290</v>
      </c>
      <c r="AZ9" t="s">
        <v>128</v>
      </c>
      <c r="BA9">
        <v>80639</v>
      </c>
      <c r="BB9" s="17">
        <v>1</v>
      </c>
      <c r="BC9">
        <v>0</v>
      </c>
      <c r="BD9">
        <v>0</v>
      </c>
      <c r="BE9">
        <v>0</v>
      </c>
      <c r="BF9">
        <v>0</v>
      </c>
      <c r="BI9">
        <v>3051</v>
      </c>
      <c r="BJ9" t="s">
        <v>111</v>
      </c>
      <c r="BK9">
        <v>81726</v>
      </c>
      <c r="BL9">
        <v>0</v>
      </c>
      <c r="BM9" s="17">
        <v>1</v>
      </c>
      <c r="BN9">
        <v>0</v>
      </c>
      <c r="BO9">
        <v>0</v>
      </c>
      <c r="BP9">
        <v>0</v>
      </c>
      <c r="BS9">
        <v>6095</v>
      </c>
      <c r="BT9" t="s">
        <v>139</v>
      </c>
      <c r="BU9">
        <v>81471</v>
      </c>
      <c r="BV9">
        <v>0</v>
      </c>
      <c r="BW9">
        <v>0</v>
      </c>
      <c r="BX9" s="17">
        <v>1</v>
      </c>
      <c r="BY9">
        <v>0</v>
      </c>
      <c r="BZ9">
        <v>0</v>
      </c>
      <c r="CC9">
        <v>1125</v>
      </c>
      <c r="CD9" t="s">
        <v>136</v>
      </c>
      <c r="CE9">
        <v>87431</v>
      </c>
      <c r="CF9">
        <v>0</v>
      </c>
      <c r="CG9">
        <v>0</v>
      </c>
      <c r="CH9">
        <v>0</v>
      </c>
      <c r="CI9" s="17">
        <v>1</v>
      </c>
      <c r="CJ9">
        <v>0</v>
      </c>
      <c r="CM9">
        <v>5365</v>
      </c>
      <c r="CN9" t="s">
        <v>154</v>
      </c>
      <c r="CO9">
        <v>151743</v>
      </c>
      <c r="CP9">
        <v>0</v>
      </c>
      <c r="CQ9">
        <v>0</v>
      </c>
      <c r="CR9">
        <v>0</v>
      </c>
      <c r="CS9">
        <v>0</v>
      </c>
      <c r="CT9" s="17">
        <v>1</v>
      </c>
    </row>
    <row r="10" spans="1:98">
      <c r="A10">
        <f t="shared" ref="A10:A37" si="32">A9+1</f>
        <v>3</v>
      </c>
      <c r="B10">
        <v>7197</v>
      </c>
      <c r="C10" t="s">
        <v>131</v>
      </c>
      <c r="D10">
        <v>20844</v>
      </c>
      <c r="E10">
        <v>19459</v>
      </c>
      <c r="F10">
        <v>14568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12955</v>
      </c>
      <c r="O10">
        <v>17178</v>
      </c>
      <c r="P10">
        <f t="shared" si="6"/>
        <v>54871</v>
      </c>
      <c r="Q10">
        <f t="shared" si="7"/>
        <v>0</v>
      </c>
      <c r="R10">
        <f t="shared" si="8"/>
        <v>0</v>
      </c>
      <c r="S10">
        <f t="shared" si="9"/>
        <v>30133</v>
      </c>
      <c r="T10" s="17">
        <f t="shared" si="10"/>
        <v>85004</v>
      </c>
      <c r="U10">
        <v>3</v>
      </c>
      <c r="V10">
        <f t="shared" si="11"/>
        <v>2</v>
      </c>
      <c r="W10">
        <f t="shared" si="12"/>
        <v>18290.333333333332</v>
      </c>
      <c r="X10">
        <f t="shared" si="13"/>
        <v>0</v>
      </c>
      <c r="Y10">
        <f t="shared" si="14"/>
        <v>0</v>
      </c>
      <c r="Z10">
        <f t="shared" si="15"/>
        <v>10044.333333333334</v>
      </c>
      <c r="AA10">
        <f t="shared" si="16"/>
        <v>7083.666666666667</v>
      </c>
      <c r="AB10">
        <f t="shared" si="17"/>
        <v>11206.666666666664</v>
      </c>
      <c r="AC10">
        <f t="shared" si="18"/>
        <v>-7083.666666666667</v>
      </c>
      <c r="AD10">
        <f t="shared" si="19"/>
        <v>-7083.666666666667</v>
      </c>
      <c r="AE10">
        <f t="shared" si="20"/>
        <v>2960.666666666667</v>
      </c>
      <c r="AF10">
        <f t="shared" si="21"/>
        <v>3297.1776314498607</v>
      </c>
      <c r="AG10">
        <f t="shared" si="22"/>
        <v>0</v>
      </c>
      <c r="AH10">
        <f t="shared" si="23"/>
        <v>0</v>
      </c>
      <c r="AI10">
        <f t="shared" si="24"/>
        <v>8951.2516629426373</v>
      </c>
      <c r="AJ10">
        <f t="shared" si="25"/>
        <v>4.806723131269516</v>
      </c>
      <c r="AK10">
        <f t="shared" si="26"/>
        <v>0</v>
      </c>
      <c r="AL10">
        <f t="shared" si="27"/>
        <v>0</v>
      </c>
      <c r="AM10">
        <f t="shared" si="28"/>
        <v>0.46775748368239972</v>
      </c>
      <c r="AN10">
        <f t="shared" si="29"/>
        <v>2.0329987138800541E-2</v>
      </c>
      <c r="AO10">
        <f t="shared" si="0"/>
        <v>0.5</v>
      </c>
      <c r="AP10">
        <f t="shared" si="1"/>
        <v>0.5</v>
      </c>
      <c r="AQ10">
        <f t="shared" si="2"/>
        <v>0.34298832104617694</v>
      </c>
      <c r="AR10" s="17">
        <f t="shared" si="30"/>
        <v>1</v>
      </c>
      <c r="AS10" s="17">
        <f t="shared" si="3"/>
        <v>0</v>
      </c>
      <c r="AT10" s="17">
        <f t="shared" si="4"/>
        <v>0</v>
      </c>
      <c r="AU10" s="17">
        <f t="shared" si="5"/>
        <v>0</v>
      </c>
      <c r="AV10" s="17">
        <f t="shared" si="31"/>
        <v>0</v>
      </c>
      <c r="AY10">
        <v>7197</v>
      </c>
      <c r="AZ10" t="s">
        <v>131</v>
      </c>
      <c r="BA10">
        <v>85004</v>
      </c>
      <c r="BB10" s="17">
        <v>1</v>
      </c>
      <c r="BC10">
        <v>0</v>
      </c>
      <c r="BD10">
        <v>0</v>
      </c>
      <c r="BE10">
        <v>0</v>
      </c>
      <c r="BF10">
        <v>0</v>
      </c>
      <c r="BI10">
        <v>9803</v>
      </c>
      <c r="BJ10" t="s">
        <v>107</v>
      </c>
      <c r="BK10">
        <v>78799</v>
      </c>
      <c r="BL10">
        <v>0</v>
      </c>
      <c r="BM10" s="17">
        <v>1</v>
      </c>
      <c r="BN10">
        <v>0</v>
      </c>
      <c r="BO10">
        <v>0</v>
      </c>
      <c r="BP10">
        <v>0</v>
      </c>
      <c r="BS10">
        <v>5833</v>
      </c>
      <c r="BT10" t="s">
        <v>134</v>
      </c>
      <c r="BU10">
        <v>81525</v>
      </c>
      <c r="BV10">
        <v>0</v>
      </c>
      <c r="BW10">
        <v>0</v>
      </c>
      <c r="BX10" s="17">
        <v>1</v>
      </c>
      <c r="BY10">
        <v>0</v>
      </c>
      <c r="BZ10">
        <v>0</v>
      </c>
      <c r="CC10">
        <v>7252</v>
      </c>
      <c r="CD10" t="s">
        <v>138</v>
      </c>
      <c r="CE10">
        <v>84748</v>
      </c>
      <c r="CF10">
        <v>0</v>
      </c>
      <c r="CG10">
        <v>0</v>
      </c>
      <c r="CH10">
        <v>0</v>
      </c>
      <c r="CI10" s="17">
        <v>1</v>
      </c>
      <c r="CJ10">
        <v>0</v>
      </c>
      <c r="CM10">
        <v>6588</v>
      </c>
      <c r="CN10" t="s">
        <v>150</v>
      </c>
      <c r="CO10">
        <v>140443</v>
      </c>
      <c r="CP10">
        <v>0</v>
      </c>
      <c r="CQ10">
        <v>0</v>
      </c>
      <c r="CR10">
        <v>0</v>
      </c>
      <c r="CS10">
        <v>0</v>
      </c>
      <c r="CT10" s="17">
        <v>1</v>
      </c>
    </row>
    <row r="11" spans="1:98">
      <c r="A11">
        <f t="shared" si="32"/>
        <v>4</v>
      </c>
      <c r="B11">
        <v>3117</v>
      </c>
      <c r="C11" t="s">
        <v>133</v>
      </c>
      <c r="D11">
        <v>21943</v>
      </c>
      <c r="E11">
        <v>17840</v>
      </c>
      <c r="F11">
        <v>11785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10661</v>
      </c>
      <c r="O11">
        <v>16572</v>
      </c>
      <c r="P11">
        <f t="shared" si="6"/>
        <v>51568</v>
      </c>
      <c r="Q11">
        <f t="shared" si="7"/>
        <v>0</v>
      </c>
      <c r="R11">
        <f t="shared" si="8"/>
        <v>0</v>
      </c>
      <c r="S11">
        <f t="shared" si="9"/>
        <v>27233</v>
      </c>
      <c r="T11" s="17">
        <f t="shared" si="10"/>
        <v>78801</v>
      </c>
      <c r="U11">
        <v>3</v>
      </c>
      <c r="V11">
        <f t="shared" si="11"/>
        <v>2</v>
      </c>
      <c r="W11">
        <f t="shared" si="12"/>
        <v>17189.333333333332</v>
      </c>
      <c r="X11">
        <f t="shared" si="13"/>
        <v>0</v>
      </c>
      <c r="Y11">
        <f t="shared" si="14"/>
        <v>0</v>
      </c>
      <c r="Z11">
        <f t="shared" si="15"/>
        <v>9077.6666666666661</v>
      </c>
      <c r="AA11">
        <f t="shared" si="16"/>
        <v>6566.75</v>
      </c>
      <c r="AB11">
        <f t="shared" si="17"/>
        <v>10622.583333333332</v>
      </c>
      <c r="AC11">
        <f t="shared" si="18"/>
        <v>-6566.75</v>
      </c>
      <c r="AD11">
        <f t="shared" si="19"/>
        <v>-6566.75</v>
      </c>
      <c r="AE11">
        <f t="shared" si="20"/>
        <v>2510.9166666666661</v>
      </c>
      <c r="AF11">
        <f t="shared" si="21"/>
        <v>5110.1630437133135</v>
      </c>
      <c r="AG11">
        <f t="shared" si="22"/>
        <v>0</v>
      </c>
      <c r="AH11">
        <f t="shared" si="23"/>
        <v>0</v>
      </c>
      <c r="AI11">
        <f t="shared" si="24"/>
        <v>8398.6906320767248</v>
      </c>
      <c r="AJ11">
        <f t="shared" si="25"/>
        <v>2.9397499236193032</v>
      </c>
      <c r="AK11">
        <f t="shared" si="26"/>
        <v>0</v>
      </c>
      <c r="AL11">
        <f t="shared" si="27"/>
        <v>0</v>
      </c>
      <c r="AM11">
        <f t="shared" si="28"/>
        <v>0.42280071496223248</v>
      </c>
      <c r="AN11">
        <f t="shared" si="29"/>
        <v>4.942600769319639E-2</v>
      </c>
      <c r="AO11">
        <f t="shared" si="0"/>
        <v>0.5</v>
      </c>
      <c r="AP11">
        <f t="shared" si="1"/>
        <v>0.5</v>
      </c>
      <c r="AQ11">
        <f t="shared" si="2"/>
        <v>0.35678088811211361</v>
      </c>
      <c r="AR11" s="17">
        <f t="shared" si="30"/>
        <v>1</v>
      </c>
      <c r="AS11" s="17">
        <f t="shared" si="3"/>
        <v>0</v>
      </c>
      <c r="AT11" s="17">
        <f t="shared" si="4"/>
        <v>0</v>
      </c>
      <c r="AU11" s="17">
        <f t="shared" si="5"/>
        <v>0</v>
      </c>
      <c r="AV11" s="17">
        <f t="shared" si="31"/>
        <v>0</v>
      </c>
      <c r="AY11">
        <v>3117</v>
      </c>
      <c r="AZ11" t="s">
        <v>132</v>
      </c>
      <c r="BA11">
        <v>78801</v>
      </c>
      <c r="BB11" s="17">
        <v>1</v>
      </c>
      <c r="BC11">
        <v>0</v>
      </c>
      <c r="BD11">
        <v>0</v>
      </c>
      <c r="BE11">
        <v>0</v>
      </c>
      <c r="BF11">
        <v>0</v>
      </c>
      <c r="BI11">
        <v>237</v>
      </c>
      <c r="BJ11" t="s">
        <v>144</v>
      </c>
      <c r="BK11">
        <v>86631</v>
      </c>
      <c r="BL11">
        <v>0</v>
      </c>
      <c r="BM11" s="17">
        <v>1</v>
      </c>
      <c r="BN11">
        <v>0</v>
      </c>
      <c r="BO11">
        <v>0</v>
      </c>
      <c r="BP11">
        <v>0</v>
      </c>
      <c r="BS11">
        <v>5918</v>
      </c>
      <c r="BT11" t="s">
        <v>115</v>
      </c>
      <c r="BU11">
        <v>77447</v>
      </c>
      <c r="BV11">
        <v>0</v>
      </c>
      <c r="BW11">
        <v>0</v>
      </c>
      <c r="BX11" s="17">
        <v>1</v>
      </c>
      <c r="BY11">
        <v>0</v>
      </c>
      <c r="BZ11">
        <v>0</v>
      </c>
      <c r="CC11">
        <v>2464</v>
      </c>
      <c r="CD11" t="s">
        <v>129</v>
      </c>
      <c r="CE11">
        <v>83115</v>
      </c>
      <c r="CF11">
        <v>0</v>
      </c>
      <c r="CG11">
        <v>0</v>
      </c>
      <c r="CH11">
        <v>0</v>
      </c>
      <c r="CI11" s="17">
        <v>1</v>
      </c>
      <c r="CJ11">
        <v>0</v>
      </c>
      <c r="CM11">
        <v>7472</v>
      </c>
      <c r="CN11" t="s">
        <v>156</v>
      </c>
      <c r="CO11">
        <v>156750</v>
      </c>
      <c r="CP11">
        <v>0</v>
      </c>
      <c r="CQ11">
        <v>0</v>
      </c>
      <c r="CR11">
        <v>0</v>
      </c>
      <c r="CS11">
        <v>0</v>
      </c>
      <c r="CT11" s="17">
        <v>1</v>
      </c>
    </row>
    <row r="12" spans="1:98">
      <c r="A12">
        <f t="shared" si="32"/>
        <v>5</v>
      </c>
      <c r="B12">
        <v>5160</v>
      </c>
      <c r="C12" t="s">
        <v>106</v>
      </c>
      <c r="D12">
        <v>22294</v>
      </c>
      <c r="E12">
        <v>17817</v>
      </c>
      <c r="F12">
        <v>13873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12165</v>
      </c>
      <c r="O12">
        <v>17802</v>
      </c>
      <c r="P12">
        <f t="shared" si="6"/>
        <v>53984</v>
      </c>
      <c r="Q12">
        <f t="shared" si="7"/>
        <v>0</v>
      </c>
      <c r="R12">
        <f t="shared" si="8"/>
        <v>0</v>
      </c>
      <c r="S12">
        <f t="shared" si="9"/>
        <v>29967</v>
      </c>
      <c r="T12" s="17">
        <f t="shared" si="10"/>
        <v>83951</v>
      </c>
      <c r="U12">
        <v>3</v>
      </c>
      <c r="V12">
        <f t="shared" si="11"/>
        <v>2</v>
      </c>
      <c r="W12">
        <f t="shared" si="12"/>
        <v>17994.666666666668</v>
      </c>
      <c r="X12">
        <f t="shared" si="13"/>
        <v>0</v>
      </c>
      <c r="Y12">
        <f t="shared" si="14"/>
        <v>0</v>
      </c>
      <c r="Z12">
        <f t="shared" si="15"/>
        <v>9989</v>
      </c>
      <c r="AA12">
        <f t="shared" si="16"/>
        <v>6995.916666666667</v>
      </c>
      <c r="AB12">
        <f t="shared" si="17"/>
        <v>10998.75</v>
      </c>
      <c r="AC12">
        <f t="shared" si="18"/>
        <v>-6995.916666666667</v>
      </c>
      <c r="AD12">
        <f t="shared" si="19"/>
        <v>-6995.916666666667</v>
      </c>
      <c r="AE12">
        <f t="shared" si="20"/>
        <v>2993.083333333333</v>
      </c>
      <c r="AF12">
        <f t="shared" si="21"/>
        <v>4213.3103770471635</v>
      </c>
      <c r="AG12">
        <f t="shared" si="22"/>
        <v>0</v>
      </c>
      <c r="AH12">
        <f t="shared" si="23"/>
        <v>0</v>
      </c>
      <c r="AI12">
        <f t="shared" si="24"/>
        <v>9098.298357385298</v>
      </c>
      <c r="AJ12">
        <f t="shared" si="25"/>
        <v>3.6917720336692308</v>
      </c>
      <c r="AK12">
        <f t="shared" si="26"/>
        <v>0</v>
      </c>
      <c r="AL12">
        <f t="shared" si="27"/>
        <v>0</v>
      </c>
      <c r="AM12">
        <f t="shared" si="28"/>
        <v>0.46523634168107514</v>
      </c>
      <c r="AN12">
        <f t="shared" si="29"/>
        <v>3.3086132262569595E-2</v>
      </c>
      <c r="AO12">
        <f t="shared" si="0"/>
        <v>0.5</v>
      </c>
      <c r="AP12">
        <f t="shared" si="1"/>
        <v>0.5</v>
      </c>
      <c r="AQ12">
        <f t="shared" si="2"/>
        <v>0.34375174664603647</v>
      </c>
      <c r="AR12" s="17">
        <f t="shared" si="30"/>
        <v>1</v>
      </c>
      <c r="AS12" s="17">
        <f t="shared" si="3"/>
        <v>0</v>
      </c>
      <c r="AT12" s="17">
        <f t="shared" si="4"/>
        <v>0</v>
      </c>
      <c r="AU12" s="17">
        <f t="shared" si="5"/>
        <v>0</v>
      </c>
      <c r="AV12" s="17">
        <f t="shared" si="31"/>
        <v>0</v>
      </c>
      <c r="AY12">
        <v>5160</v>
      </c>
      <c r="AZ12" t="s">
        <v>105</v>
      </c>
      <c r="BA12">
        <v>83951</v>
      </c>
      <c r="BB12" s="17">
        <v>1</v>
      </c>
      <c r="BC12">
        <v>0</v>
      </c>
      <c r="BD12">
        <v>0</v>
      </c>
      <c r="BE12">
        <v>0</v>
      </c>
      <c r="BF12">
        <v>0</v>
      </c>
      <c r="BI12">
        <v>6673</v>
      </c>
      <c r="BJ12" t="s">
        <v>118</v>
      </c>
      <c r="BK12">
        <v>86461</v>
      </c>
      <c r="BL12">
        <v>0</v>
      </c>
      <c r="BM12" s="17">
        <v>1</v>
      </c>
      <c r="BN12">
        <v>0</v>
      </c>
      <c r="BO12">
        <v>0</v>
      </c>
      <c r="BP12">
        <v>0</v>
      </c>
      <c r="BS12">
        <v>806</v>
      </c>
      <c r="BT12" t="s">
        <v>109</v>
      </c>
      <c r="BU12">
        <v>88264</v>
      </c>
      <c r="BV12">
        <v>0</v>
      </c>
      <c r="BW12">
        <v>0</v>
      </c>
      <c r="BX12" s="17">
        <v>1</v>
      </c>
      <c r="BY12">
        <v>0</v>
      </c>
      <c r="BZ12">
        <v>0</v>
      </c>
      <c r="CC12">
        <v>5141</v>
      </c>
      <c r="CD12" t="s">
        <v>113</v>
      </c>
      <c r="CE12">
        <v>85871</v>
      </c>
      <c r="CF12">
        <v>0</v>
      </c>
      <c r="CG12">
        <v>0</v>
      </c>
      <c r="CH12">
        <v>0</v>
      </c>
      <c r="CI12" s="17">
        <v>1</v>
      </c>
      <c r="CJ12">
        <v>0</v>
      </c>
      <c r="CM12">
        <v>894</v>
      </c>
      <c r="CN12" t="s">
        <v>152</v>
      </c>
      <c r="CO12">
        <v>151398</v>
      </c>
      <c r="CP12">
        <v>0</v>
      </c>
      <c r="CQ12">
        <v>0</v>
      </c>
      <c r="CR12">
        <v>0</v>
      </c>
      <c r="CS12">
        <v>0</v>
      </c>
      <c r="CT12" s="17">
        <v>1</v>
      </c>
    </row>
    <row r="13" spans="1:98">
      <c r="A13">
        <f t="shared" si="32"/>
        <v>6</v>
      </c>
      <c r="B13">
        <v>1275</v>
      </c>
      <c r="C13" t="s">
        <v>143</v>
      </c>
      <c r="D13">
        <v>21142</v>
      </c>
      <c r="E13">
        <v>16386</v>
      </c>
      <c r="F13">
        <v>12128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12094</v>
      </c>
      <c r="O13">
        <v>17466</v>
      </c>
      <c r="P13">
        <f t="shared" si="6"/>
        <v>49656</v>
      </c>
      <c r="Q13">
        <f t="shared" si="7"/>
        <v>0</v>
      </c>
      <c r="R13">
        <f t="shared" si="8"/>
        <v>0</v>
      </c>
      <c r="S13">
        <f t="shared" si="9"/>
        <v>29560</v>
      </c>
      <c r="T13" s="17">
        <f t="shared" si="10"/>
        <v>79216</v>
      </c>
      <c r="U13">
        <v>3</v>
      </c>
      <c r="V13">
        <f t="shared" si="11"/>
        <v>2</v>
      </c>
      <c r="W13">
        <f t="shared" si="12"/>
        <v>16552</v>
      </c>
      <c r="X13">
        <f t="shared" si="13"/>
        <v>0</v>
      </c>
      <c r="Y13">
        <f t="shared" si="14"/>
        <v>0</v>
      </c>
      <c r="Z13">
        <f t="shared" si="15"/>
        <v>9853.3333333333339</v>
      </c>
      <c r="AA13">
        <f t="shared" si="16"/>
        <v>6601.333333333333</v>
      </c>
      <c r="AB13">
        <f t="shared" si="17"/>
        <v>9950.6666666666679</v>
      </c>
      <c r="AC13">
        <f t="shared" si="18"/>
        <v>-6601.333333333333</v>
      </c>
      <c r="AD13">
        <f t="shared" si="19"/>
        <v>-6601.333333333333</v>
      </c>
      <c r="AE13">
        <f t="shared" si="20"/>
        <v>3252.0000000000009</v>
      </c>
      <c r="AF13">
        <f t="shared" si="21"/>
        <v>4509.2921839242135</v>
      </c>
      <c r="AG13">
        <f t="shared" si="22"/>
        <v>0</v>
      </c>
      <c r="AH13">
        <f t="shared" si="23"/>
        <v>0</v>
      </c>
      <c r="AI13">
        <f t="shared" si="24"/>
        <v>8945.9895670257374</v>
      </c>
      <c r="AJ13">
        <f t="shared" si="25"/>
        <v>3.1207487074850397</v>
      </c>
      <c r="AK13">
        <f t="shared" si="26"/>
        <v>0</v>
      </c>
      <c r="AL13">
        <f t="shared" si="27"/>
        <v>0</v>
      </c>
      <c r="AM13">
        <f t="shared" si="28"/>
        <v>0.51408762221107063</v>
      </c>
      <c r="AN13">
        <f t="shared" si="29"/>
        <v>4.4580196750949042E-2</v>
      </c>
      <c r="AO13">
        <f t="shared" si="0"/>
        <v>0.5</v>
      </c>
      <c r="AP13">
        <f t="shared" si="1"/>
        <v>0.5</v>
      </c>
      <c r="AQ13">
        <f t="shared" si="2"/>
        <v>0.32917890437985498</v>
      </c>
      <c r="AR13" s="17">
        <f t="shared" si="30"/>
        <v>1</v>
      </c>
      <c r="AS13" s="17">
        <f t="shared" si="3"/>
        <v>0</v>
      </c>
      <c r="AT13" s="17">
        <f t="shared" si="4"/>
        <v>0</v>
      </c>
      <c r="AU13" s="17">
        <f t="shared" si="5"/>
        <v>0</v>
      </c>
      <c r="AV13" s="17">
        <f t="shared" si="31"/>
        <v>0</v>
      </c>
      <c r="AX13" t="s">
        <v>168</v>
      </c>
      <c r="AY13">
        <v>1275</v>
      </c>
      <c r="AZ13" t="s">
        <v>142</v>
      </c>
      <c r="BA13">
        <v>79216</v>
      </c>
      <c r="BB13" s="17">
        <v>1</v>
      </c>
      <c r="BC13">
        <v>0</v>
      </c>
      <c r="BD13">
        <v>0</v>
      </c>
      <c r="BE13">
        <v>0</v>
      </c>
      <c r="BF13">
        <v>0</v>
      </c>
      <c r="BH13" t="s">
        <v>168</v>
      </c>
      <c r="BI13">
        <v>8179</v>
      </c>
      <c r="BJ13" t="s">
        <v>124</v>
      </c>
      <c r="BK13">
        <v>76685</v>
      </c>
      <c r="BL13">
        <v>0</v>
      </c>
      <c r="BM13" s="17">
        <v>1</v>
      </c>
      <c r="BN13">
        <v>0</v>
      </c>
      <c r="BO13">
        <v>0</v>
      </c>
      <c r="BP13">
        <v>0</v>
      </c>
      <c r="BR13" t="s">
        <v>168</v>
      </c>
      <c r="BS13">
        <v>717</v>
      </c>
      <c r="BT13" t="s">
        <v>116</v>
      </c>
      <c r="BU13">
        <v>78036</v>
      </c>
      <c r="BV13">
        <v>0</v>
      </c>
      <c r="BW13">
        <v>0</v>
      </c>
      <c r="BX13" s="17">
        <v>1</v>
      </c>
      <c r="BY13">
        <v>0</v>
      </c>
      <c r="BZ13">
        <v>0</v>
      </c>
      <c r="CB13" t="s">
        <v>168</v>
      </c>
      <c r="CC13">
        <v>9574</v>
      </c>
      <c r="CD13" t="s">
        <v>126</v>
      </c>
      <c r="CE13">
        <v>81232</v>
      </c>
      <c r="CF13">
        <v>0</v>
      </c>
      <c r="CG13">
        <v>0</v>
      </c>
      <c r="CH13">
        <v>0</v>
      </c>
      <c r="CI13" s="17">
        <v>1</v>
      </c>
      <c r="CJ13">
        <v>0</v>
      </c>
      <c r="CL13" t="s">
        <v>168</v>
      </c>
      <c r="CM13">
        <v>2814</v>
      </c>
      <c r="CN13" t="s">
        <v>122</v>
      </c>
      <c r="CO13">
        <v>151884</v>
      </c>
      <c r="CP13">
        <v>0</v>
      </c>
      <c r="CQ13">
        <v>0</v>
      </c>
      <c r="CR13">
        <v>0</v>
      </c>
      <c r="CS13">
        <v>0</v>
      </c>
      <c r="CT13" s="17">
        <v>1</v>
      </c>
    </row>
    <row r="14" spans="1:98">
      <c r="A14">
        <f t="shared" si="32"/>
        <v>7</v>
      </c>
      <c r="B14">
        <v>9233</v>
      </c>
      <c r="C14" t="s">
        <v>149</v>
      </c>
      <c r="D14">
        <v>0</v>
      </c>
      <c r="E14">
        <v>13700</v>
      </c>
      <c r="F14">
        <v>18952</v>
      </c>
      <c r="G14">
        <v>21414</v>
      </c>
      <c r="H14">
        <v>16751</v>
      </c>
      <c r="I14">
        <v>13894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f t="shared" si="6"/>
        <v>32652</v>
      </c>
      <c r="Q14">
        <f t="shared" si="7"/>
        <v>52059</v>
      </c>
      <c r="R14">
        <f t="shared" si="8"/>
        <v>0</v>
      </c>
      <c r="S14">
        <f t="shared" si="9"/>
        <v>0</v>
      </c>
      <c r="T14" s="17">
        <f t="shared" si="10"/>
        <v>84711</v>
      </c>
      <c r="U14">
        <v>3</v>
      </c>
      <c r="V14">
        <f t="shared" si="11"/>
        <v>2</v>
      </c>
      <c r="W14">
        <f t="shared" si="12"/>
        <v>10884</v>
      </c>
      <c r="X14">
        <f t="shared" si="13"/>
        <v>17353</v>
      </c>
      <c r="Y14">
        <f t="shared" si="14"/>
        <v>0</v>
      </c>
      <c r="Z14">
        <f t="shared" si="15"/>
        <v>0</v>
      </c>
      <c r="AA14">
        <f t="shared" si="16"/>
        <v>7059.25</v>
      </c>
      <c r="AB14">
        <f t="shared" si="17"/>
        <v>3824.75</v>
      </c>
      <c r="AC14">
        <f t="shared" si="18"/>
        <v>10293.75</v>
      </c>
      <c r="AD14">
        <f t="shared" si="19"/>
        <v>-7059.25</v>
      </c>
      <c r="AE14">
        <f t="shared" si="20"/>
        <v>-7059.25</v>
      </c>
      <c r="AF14">
        <f t="shared" si="21"/>
        <v>9784.78247075529</v>
      </c>
      <c r="AG14">
        <f t="shared" si="22"/>
        <v>3795.971944048059</v>
      </c>
      <c r="AH14">
        <f t="shared" si="23"/>
        <v>0</v>
      </c>
      <c r="AI14">
        <f t="shared" si="24"/>
        <v>0</v>
      </c>
      <c r="AJ14">
        <f t="shared" si="25"/>
        <v>0.55279852555260467</v>
      </c>
      <c r="AK14">
        <f t="shared" si="26"/>
        <v>3.835002226637569</v>
      </c>
      <c r="AL14">
        <f t="shared" si="27"/>
        <v>0</v>
      </c>
      <c r="AM14">
        <f t="shared" si="28"/>
        <v>0</v>
      </c>
      <c r="AN14">
        <f t="shared" si="29"/>
        <v>0.31796864689984755</v>
      </c>
      <c r="AO14">
        <f t="shared" si="0"/>
        <v>3.0880763165632423E-2</v>
      </c>
      <c r="AP14">
        <f t="shared" si="1"/>
        <v>0.5</v>
      </c>
      <c r="AQ14">
        <f t="shared" si="2"/>
        <v>0.5</v>
      </c>
      <c r="AR14" s="17">
        <f t="shared" si="30"/>
        <v>0</v>
      </c>
      <c r="AS14" s="17">
        <f t="shared" si="3"/>
        <v>1</v>
      </c>
      <c r="AT14" s="17">
        <f t="shared" si="4"/>
        <v>0</v>
      </c>
      <c r="AU14" s="17">
        <f t="shared" si="5"/>
        <v>0</v>
      </c>
      <c r="AV14" s="17">
        <f t="shared" si="31"/>
        <v>0</v>
      </c>
      <c r="AY14">
        <v>9233</v>
      </c>
      <c r="AZ14" t="s">
        <v>148</v>
      </c>
      <c r="BA14">
        <v>84711</v>
      </c>
      <c r="BB14" s="17">
        <v>0</v>
      </c>
      <c r="BC14">
        <v>1</v>
      </c>
      <c r="BD14">
        <v>0</v>
      </c>
      <c r="BE14">
        <v>0</v>
      </c>
      <c r="BF14">
        <v>0</v>
      </c>
      <c r="BI14">
        <v>8719</v>
      </c>
      <c r="BJ14" t="s">
        <v>158</v>
      </c>
      <c r="BK14">
        <v>80281</v>
      </c>
      <c r="BL14">
        <v>1</v>
      </c>
      <c r="BM14" s="17">
        <v>0</v>
      </c>
      <c r="BN14">
        <v>0</v>
      </c>
      <c r="BO14">
        <v>0</v>
      </c>
      <c r="BP14">
        <v>0</v>
      </c>
      <c r="BS14">
        <v>8719</v>
      </c>
      <c r="BT14" t="s">
        <v>158</v>
      </c>
      <c r="BU14">
        <v>80281</v>
      </c>
      <c r="BV14">
        <v>1</v>
      </c>
      <c r="BW14">
        <v>0</v>
      </c>
      <c r="BX14" s="17">
        <v>0</v>
      </c>
      <c r="BY14">
        <v>0</v>
      </c>
      <c r="BZ14">
        <v>0</v>
      </c>
      <c r="CC14">
        <v>8719</v>
      </c>
      <c r="CD14" t="s">
        <v>158</v>
      </c>
      <c r="CE14">
        <v>80281</v>
      </c>
      <c r="CF14">
        <v>1</v>
      </c>
      <c r="CG14">
        <v>0</v>
      </c>
      <c r="CH14">
        <v>0</v>
      </c>
      <c r="CI14" s="17">
        <v>0</v>
      </c>
      <c r="CJ14">
        <v>0</v>
      </c>
      <c r="CM14">
        <v>8719</v>
      </c>
      <c r="CN14" t="s">
        <v>158</v>
      </c>
      <c r="CO14">
        <v>80281</v>
      </c>
      <c r="CP14">
        <v>1</v>
      </c>
      <c r="CQ14">
        <v>0</v>
      </c>
      <c r="CR14">
        <v>0</v>
      </c>
      <c r="CS14">
        <v>0</v>
      </c>
      <c r="CT14" s="17">
        <v>0</v>
      </c>
    </row>
    <row r="15" spans="1:98">
      <c r="A15">
        <f t="shared" si="32"/>
        <v>8</v>
      </c>
      <c r="B15">
        <v>3051</v>
      </c>
      <c r="C15" t="s">
        <v>112</v>
      </c>
      <c r="D15">
        <v>0</v>
      </c>
      <c r="E15">
        <v>14708</v>
      </c>
      <c r="F15">
        <v>19758</v>
      </c>
      <c r="G15">
        <v>20371</v>
      </c>
      <c r="H15">
        <v>16559</v>
      </c>
      <c r="I15">
        <v>10330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f t="shared" si="6"/>
        <v>34466</v>
      </c>
      <c r="Q15">
        <f t="shared" si="7"/>
        <v>47260</v>
      </c>
      <c r="R15">
        <f t="shared" si="8"/>
        <v>0</v>
      </c>
      <c r="S15">
        <f t="shared" si="9"/>
        <v>0</v>
      </c>
      <c r="T15" s="17">
        <f t="shared" si="10"/>
        <v>81726</v>
      </c>
      <c r="U15">
        <v>3</v>
      </c>
      <c r="V15">
        <f t="shared" si="11"/>
        <v>2</v>
      </c>
      <c r="W15">
        <f t="shared" si="12"/>
        <v>11488.666666666666</v>
      </c>
      <c r="X15">
        <f t="shared" si="13"/>
        <v>15753.333333333334</v>
      </c>
      <c r="Y15">
        <f t="shared" si="14"/>
        <v>0</v>
      </c>
      <c r="Z15">
        <f t="shared" si="15"/>
        <v>0</v>
      </c>
      <c r="AA15">
        <f t="shared" si="16"/>
        <v>6810.5</v>
      </c>
      <c r="AB15">
        <f t="shared" si="17"/>
        <v>4678.1666666666661</v>
      </c>
      <c r="AC15">
        <f t="shared" si="18"/>
        <v>8942.8333333333339</v>
      </c>
      <c r="AD15">
        <f t="shared" si="19"/>
        <v>-6810.5</v>
      </c>
      <c r="AE15">
        <f t="shared" si="20"/>
        <v>-6810.5</v>
      </c>
      <c r="AF15">
        <f t="shared" si="21"/>
        <v>10264.878047660057</v>
      </c>
      <c r="AG15">
        <f t="shared" si="22"/>
        <v>5068.751752979555</v>
      </c>
      <c r="AH15">
        <f t="shared" si="23"/>
        <v>0</v>
      </c>
      <c r="AI15">
        <f t="shared" si="24"/>
        <v>0</v>
      </c>
      <c r="AJ15">
        <f t="shared" si="25"/>
        <v>0.64452073529990705</v>
      </c>
      <c r="AK15">
        <f t="shared" si="26"/>
        <v>2.4951066460510494</v>
      </c>
      <c r="AL15">
        <f t="shared" si="27"/>
        <v>0</v>
      </c>
      <c r="AM15">
        <f t="shared" si="28"/>
        <v>0</v>
      </c>
      <c r="AN15">
        <f t="shared" si="29"/>
        <v>0.29264632359871312</v>
      </c>
      <c r="AO15">
        <f t="shared" si="0"/>
        <v>6.501282290507561E-2</v>
      </c>
      <c r="AP15">
        <f t="shared" si="1"/>
        <v>0.5</v>
      </c>
      <c r="AQ15">
        <f t="shared" si="2"/>
        <v>0.5</v>
      </c>
      <c r="AR15" s="17">
        <f t="shared" si="30"/>
        <v>0</v>
      </c>
      <c r="AS15" s="17">
        <f t="shared" si="3"/>
        <v>1</v>
      </c>
      <c r="AT15" s="17">
        <f t="shared" si="4"/>
        <v>0</v>
      </c>
      <c r="AU15" s="17">
        <f t="shared" si="5"/>
        <v>0</v>
      </c>
      <c r="AV15" s="17">
        <f t="shared" si="31"/>
        <v>0</v>
      </c>
      <c r="AY15">
        <v>3051</v>
      </c>
      <c r="AZ15" t="s">
        <v>111</v>
      </c>
      <c r="BA15">
        <v>81726</v>
      </c>
      <c r="BB15" s="17">
        <v>0</v>
      </c>
      <c r="BC15">
        <v>1</v>
      </c>
      <c r="BD15">
        <v>0</v>
      </c>
      <c r="BE15">
        <v>0</v>
      </c>
      <c r="BF15">
        <v>0</v>
      </c>
      <c r="BI15">
        <v>6290</v>
      </c>
      <c r="BJ15" t="s">
        <v>128</v>
      </c>
      <c r="BK15">
        <v>80639</v>
      </c>
      <c r="BL15">
        <v>1</v>
      </c>
      <c r="BM15" s="17">
        <v>0</v>
      </c>
      <c r="BN15">
        <v>0</v>
      </c>
      <c r="BO15">
        <v>0</v>
      </c>
      <c r="BP15">
        <v>0</v>
      </c>
      <c r="BS15">
        <v>6290</v>
      </c>
      <c r="BT15" t="s">
        <v>128</v>
      </c>
      <c r="BU15">
        <v>80639</v>
      </c>
      <c r="BV15">
        <v>1</v>
      </c>
      <c r="BW15">
        <v>0</v>
      </c>
      <c r="BX15" s="17">
        <v>0</v>
      </c>
      <c r="BY15">
        <v>0</v>
      </c>
      <c r="BZ15">
        <v>0</v>
      </c>
      <c r="CC15">
        <v>6290</v>
      </c>
      <c r="CD15" t="s">
        <v>128</v>
      </c>
      <c r="CE15">
        <v>80639</v>
      </c>
      <c r="CF15">
        <v>1</v>
      </c>
      <c r="CG15">
        <v>0</v>
      </c>
      <c r="CH15">
        <v>0</v>
      </c>
      <c r="CI15" s="17">
        <v>0</v>
      </c>
      <c r="CJ15">
        <v>0</v>
      </c>
      <c r="CM15">
        <v>6290</v>
      </c>
      <c r="CN15" t="s">
        <v>128</v>
      </c>
      <c r="CO15">
        <v>80639</v>
      </c>
      <c r="CP15">
        <v>1</v>
      </c>
      <c r="CQ15">
        <v>0</v>
      </c>
      <c r="CR15">
        <v>0</v>
      </c>
      <c r="CS15">
        <v>0</v>
      </c>
      <c r="CT15" s="17">
        <v>0</v>
      </c>
    </row>
    <row r="16" spans="1:98">
      <c r="A16">
        <f t="shared" si="32"/>
        <v>9</v>
      </c>
      <c r="B16">
        <v>9803</v>
      </c>
      <c r="C16" t="s">
        <v>108</v>
      </c>
      <c r="D16">
        <v>0</v>
      </c>
      <c r="E16">
        <v>10863</v>
      </c>
      <c r="F16">
        <v>15411</v>
      </c>
      <c r="G16">
        <v>21320</v>
      </c>
      <c r="H16">
        <v>18759</v>
      </c>
      <c r="I16">
        <v>12446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f t="shared" si="6"/>
        <v>26274</v>
      </c>
      <c r="Q16">
        <f t="shared" si="7"/>
        <v>52525</v>
      </c>
      <c r="R16">
        <f t="shared" si="8"/>
        <v>0</v>
      </c>
      <c r="S16">
        <f t="shared" si="9"/>
        <v>0</v>
      </c>
      <c r="T16" s="17">
        <f t="shared" si="10"/>
        <v>78799</v>
      </c>
      <c r="U16">
        <v>3</v>
      </c>
      <c r="V16">
        <f t="shared" si="11"/>
        <v>2</v>
      </c>
      <c r="W16">
        <f t="shared" si="12"/>
        <v>8758</v>
      </c>
      <c r="X16">
        <f t="shared" si="13"/>
        <v>17508.333333333332</v>
      </c>
      <c r="Y16">
        <f t="shared" si="14"/>
        <v>0</v>
      </c>
      <c r="Z16">
        <f t="shared" si="15"/>
        <v>0</v>
      </c>
      <c r="AA16">
        <f t="shared" si="16"/>
        <v>6566.583333333333</v>
      </c>
      <c r="AB16">
        <f t="shared" si="17"/>
        <v>2191.416666666667</v>
      </c>
      <c r="AC16">
        <f t="shared" si="18"/>
        <v>10941.75</v>
      </c>
      <c r="AD16">
        <f t="shared" si="19"/>
        <v>-6566.583333333333</v>
      </c>
      <c r="AE16">
        <f t="shared" si="20"/>
        <v>-6566.583333333333</v>
      </c>
      <c r="AF16">
        <f t="shared" si="21"/>
        <v>7918.2068045738743</v>
      </c>
      <c r="AG16">
        <f t="shared" si="22"/>
        <v>4567.2852257477107</v>
      </c>
      <c r="AH16">
        <f t="shared" si="23"/>
        <v>0</v>
      </c>
      <c r="AI16">
        <f t="shared" si="24"/>
        <v>0</v>
      </c>
      <c r="AJ16">
        <f t="shared" si="25"/>
        <v>0.39139305745592018</v>
      </c>
      <c r="AK16">
        <f t="shared" si="26"/>
        <v>3.3880019489176019</v>
      </c>
      <c r="AL16">
        <f t="shared" si="27"/>
        <v>0</v>
      </c>
      <c r="AM16">
        <f t="shared" si="28"/>
        <v>0</v>
      </c>
      <c r="AN16">
        <f t="shared" si="29"/>
        <v>0.36663493106506928</v>
      </c>
      <c r="AO16">
        <f t="shared" si="0"/>
        <v>3.8584740813054762E-2</v>
      </c>
      <c r="AP16">
        <f t="shared" si="1"/>
        <v>0.5</v>
      </c>
      <c r="AQ16">
        <f t="shared" si="2"/>
        <v>0.5</v>
      </c>
      <c r="AR16" s="17">
        <f t="shared" si="30"/>
        <v>0</v>
      </c>
      <c r="AS16" s="17">
        <f t="shared" si="3"/>
        <v>1</v>
      </c>
      <c r="AT16" s="17">
        <f t="shared" si="4"/>
        <v>0</v>
      </c>
      <c r="AU16" s="17">
        <f t="shared" si="5"/>
        <v>0</v>
      </c>
      <c r="AV16" s="17">
        <f t="shared" si="31"/>
        <v>0</v>
      </c>
      <c r="AY16">
        <v>9803</v>
      </c>
      <c r="AZ16" t="s">
        <v>107</v>
      </c>
      <c r="BA16">
        <v>78799</v>
      </c>
      <c r="BB16" s="17">
        <v>0</v>
      </c>
      <c r="BC16">
        <v>1</v>
      </c>
      <c r="BD16">
        <v>0</v>
      </c>
      <c r="BE16">
        <v>0</v>
      </c>
      <c r="BF16">
        <v>0</v>
      </c>
      <c r="BI16">
        <v>7197</v>
      </c>
      <c r="BJ16" t="s">
        <v>131</v>
      </c>
      <c r="BK16">
        <v>85004</v>
      </c>
      <c r="BL16">
        <v>1</v>
      </c>
      <c r="BM16" s="17">
        <v>0</v>
      </c>
      <c r="BN16">
        <v>0</v>
      </c>
      <c r="BO16">
        <v>0</v>
      </c>
      <c r="BP16">
        <v>0</v>
      </c>
      <c r="BS16">
        <v>7197</v>
      </c>
      <c r="BT16" t="s">
        <v>131</v>
      </c>
      <c r="BU16">
        <v>85004</v>
      </c>
      <c r="BV16">
        <v>1</v>
      </c>
      <c r="BW16">
        <v>0</v>
      </c>
      <c r="BX16" s="17">
        <v>0</v>
      </c>
      <c r="BY16">
        <v>0</v>
      </c>
      <c r="BZ16">
        <v>0</v>
      </c>
      <c r="CC16">
        <v>7197</v>
      </c>
      <c r="CD16" t="s">
        <v>131</v>
      </c>
      <c r="CE16">
        <v>85004</v>
      </c>
      <c r="CF16">
        <v>1</v>
      </c>
      <c r="CG16">
        <v>0</v>
      </c>
      <c r="CH16">
        <v>0</v>
      </c>
      <c r="CI16" s="17">
        <v>0</v>
      </c>
      <c r="CJ16">
        <v>0</v>
      </c>
      <c r="CM16">
        <v>7197</v>
      </c>
      <c r="CN16" t="s">
        <v>131</v>
      </c>
      <c r="CO16">
        <v>85004</v>
      </c>
      <c r="CP16">
        <v>1</v>
      </c>
      <c r="CQ16">
        <v>0</v>
      </c>
      <c r="CR16">
        <v>0</v>
      </c>
      <c r="CS16">
        <v>0</v>
      </c>
      <c r="CT16" s="17">
        <v>0</v>
      </c>
    </row>
    <row r="17" spans="1:98">
      <c r="A17">
        <f t="shared" si="32"/>
        <v>10</v>
      </c>
      <c r="B17">
        <v>237</v>
      </c>
      <c r="C17" t="s">
        <v>145</v>
      </c>
      <c r="D17">
        <v>0</v>
      </c>
      <c r="E17">
        <v>13503</v>
      </c>
      <c r="F17">
        <v>17078</v>
      </c>
      <c r="G17">
        <v>24934</v>
      </c>
      <c r="H17">
        <v>16980</v>
      </c>
      <c r="I17">
        <v>14136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f t="shared" si="6"/>
        <v>30581</v>
      </c>
      <c r="Q17">
        <f t="shared" si="7"/>
        <v>56050</v>
      </c>
      <c r="R17">
        <f t="shared" si="8"/>
        <v>0</v>
      </c>
      <c r="S17">
        <f t="shared" si="9"/>
        <v>0</v>
      </c>
      <c r="T17" s="17">
        <f t="shared" si="10"/>
        <v>86631</v>
      </c>
      <c r="U17">
        <v>3</v>
      </c>
      <c r="V17">
        <f t="shared" si="11"/>
        <v>2</v>
      </c>
      <c r="W17">
        <f t="shared" si="12"/>
        <v>10193.666666666666</v>
      </c>
      <c r="X17">
        <f t="shared" si="13"/>
        <v>18683.333333333332</v>
      </c>
      <c r="Y17">
        <f t="shared" si="14"/>
        <v>0</v>
      </c>
      <c r="Z17">
        <f t="shared" si="15"/>
        <v>0</v>
      </c>
      <c r="AA17">
        <f t="shared" si="16"/>
        <v>7219.25</v>
      </c>
      <c r="AB17">
        <f t="shared" si="17"/>
        <v>2974.4166666666661</v>
      </c>
      <c r="AC17">
        <f t="shared" si="18"/>
        <v>11464.083333333332</v>
      </c>
      <c r="AD17">
        <f t="shared" si="19"/>
        <v>-7219.25</v>
      </c>
      <c r="AE17">
        <f t="shared" si="20"/>
        <v>-7219.25</v>
      </c>
      <c r="AF17">
        <f t="shared" si="21"/>
        <v>9007.1241988402344</v>
      </c>
      <c r="AG17">
        <f t="shared" si="22"/>
        <v>5596.892828465926</v>
      </c>
      <c r="AH17">
        <f t="shared" si="23"/>
        <v>0</v>
      </c>
      <c r="AI17">
        <f t="shared" si="24"/>
        <v>0</v>
      </c>
      <c r="AJ17">
        <f t="shared" si="25"/>
        <v>0.46701480930952421</v>
      </c>
      <c r="AK17">
        <f t="shared" si="26"/>
        <v>2.896725491636607</v>
      </c>
      <c r="AL17">
        <f t="shared" si="27"/>
        <v>0</v>
      </c>
      <c r="AM17">
        <f t="shared" si="28"/>
        <v>0</v>
      </c>
      <c r="AN17">
        <f t="shared" si="29"/>
        <v>0.34321308363191688</v>
      </c>
      <c r="AO17">
        <f t="shared" si="0"/>
        <v>5.0687723429636032E-2</v>
      </c>
      <c r="AP17">
        <f t="shared" si="1"/>
        <v>0.5</v>
      </c>
      <c r="AQ17">
        <f t="shared" si="2"/>
        <v>0.5</v>
      </c>
      <c r="AR17" s="17">
        <f t="shared" si="30"/>
        <v>0</v>
      </c>
      <c r="AS17" s="17">
        <f t="shared" si="3"/>
        <v>1</v>
      </c>
      <c r="AT17" s="17">
        <f t="shared" si="4"/>
        <v>0</v>
      </c>
      <c r="AU17" s="17">
        <f t="shared" si="5"/>
        <v>0</v>
      </c>
      <c r="AV17" s="17">
        <f t="shared" si="31"/>
        <v>0</v>
      </c>
      <c r="AY17">
        <v>237</v>
      </c>
      <c r="AZ17" t="s">
        <v>144</v>
      </c>
      <c r="BA17">
        <v>86631</v>
      </c>
      <c r="BB17" s="17">
        <v>0</v>
      </c>
      <c r="BC17">
        <v>1</v>
      </c>
      <c r="BD17">
        <v>0</v>
      </c>
      <c r="BE17">
        <v>0</v>
      </c>
      <c r="BF17">
        <v>0</v>
      </c>
      <c r="BI17">
        <v>3117</v>
      </c>
      <c r="BJ17" t="s">
        <v>132</v>
      </c>
      <c r="BK17">
        <v>78801</v>
      </c>
      <c r="BL17">
        <v>1</v>
      </c>
      <c r="BM17" s="17">
        <v>0</v>
      </c>
      <c r="BN17">
        <v>0</v>
      </c>
      <c r="BO17">
        <v>0</v>
      </c>
      <c r="BP17">
        <v>0</v>
      </c>
      <c r="BS17">
        <v>3117</v>
      </c>
      <c r="BT17" t="s">
        <v>132</v>
      </c>
      <c r="BU17">
        <v>78801</v>
      </c>
      <c r="BV17">
        <v>1</v>
      </c>
      <c r="BW17">
        <v>0</v>
      </c>
      <c r="BX17" s="17">
        <v>0</v>
      </c>
      <c r="BY17">
        <v>0</v>
      </c>
      <c r="BZ17">
        <v>0</v>
      </c>
      <c r="CC17">
        <v>3117</v>
      </c>
      <c r="CD17" t="s">
        <v>132</v>
      </c>
      <c r="CE17">
        <v>78801</v>
      </c>
      <c r="CF17">
        <v>1</v>
      </c>
      <c r="CG17">
        <v>0</v>
      </c>
      <c r="CH17">
        <v>0</v>
      </c>
      <c r="CI17" s="17">
        <v>0</v>
      </c>
      <c r="CJ17">
        <v>0</v>
      </c>
      <c r="CM17">
        <v>3117</v>
      </c>
      <c r="CN17" t="s">
        <v>132</v>
      </c>
      <c r="CO17">
        <v>78801</v>
      </c>
      <c r="CP17">
        <v>1</v>
      </c>
      <c r="CQ17">
        <v>0</v>
      </c>
      <c r="CR17">
        <v>0</v>
      </c>
      <c r="CS17">
        <v>0</v>
      </c>
      <c r="CT17" s="17">
        <v>0</v>
      </c>
    </row>
    <row r="18" spans="1:98">
      <c r="A18">
        <f t="shared" si="32"/>
        <v>11</v>
      </c>
      <c r="B18">
        <v>6673</v>
      </c>
      <c r="C18" t="s">
        <v>119</v>
      </c>
      <c r="D18">
        <v>0</v>
      </c>
      <c r="E18">
        <v>13192</v>
      </c>
      <c r="F18">
        <v>16142</v>
      </c>
      <c r="G18">
        <v>23315</v>
      </c>
      <c r="H18">
        <v>19767</v>
      </c>
      <c r="I18">
        <v>14045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f t="shared" si="6"/>
        <v>29334</v>
      </c>
      <c r="Q18">
        <f t="shared" si="7"/>
        <v>57127</v>
      </c>
      <c r="R18">
        <f t="shared" si="8"/>
        <v>0</v>
      </c>
      <c r="S18">
        <f t="shared" si="9"/>
        <v>0</v>
      </c>
      <c r="T18" s="17">
        <f t="shared" si="10"/>
        <v>86461</v>
      </c>
      <c r="U18">
        <v>3</v>
      </c>
      <c r="V18">
        <f t="shared" si="11"/>
        <v>2</v>
      </c>
      <c r="W18">
        <f t="shared" si="12"/>
        <v>9778</v>
      </c>
      <c r="X18">
        <f t="shared" si="13"/>
        <v>19042.333333333332</v>
      </c>
      <c r="Y18">
        <f t="shared" si="14"/>
        <v>0</v>
      </c>
      <c r="Z18">
        <f t="shared" si="15"/>
        <v>0</v>
      </c>
      <c r="AA18">
        <f t="shared" si="16"/>
        <v>7205.083333333333</v>
      </c>
      <c r="AB18">
        <f t="shared" si="17"/>
        <v>2572.916666666667</v>
      </c>
      <c r="AC18">
        <f t="shared" si="18"/>
        <v>11837.25</v>
      </c>
      <c r="AD18">
        <f t="shared" si="19"/>
        <v>-7205.083333333333</v>
      </c>
      <c r="AE18">
        <f t="shared" si="20"/>
        <v>-7205.083333333333</v>
      </c>
      <c r="AF18">
        <f t="shared" si="21"/>
        <v>8595.4981240181769</v>
      </c>
      <c r="AG18">
        <f t="shared" si="22"/>
        <v>4677.2942320676566</v>
      </c>
      <c r="AH18">
        <f t="shared" si="23"/>
        <v>0</v>
      </c>
      <c r="AI18">
        <f t="shared" si="24"/>
        <v>0</v>
      </c>
      <c r="AJ18">
        <f t="shared" si="25"/>
        <v>0.42332085847222528</v>
      </c>
      <c r="AK18">
        <f t="shared" si="26"/>
        <v>3.5790777018961699</v>
      </c>
      <c r="AL18">
        <f t="shared" si="27"/>
        <v>0</v>
      </c>
      <c r="AM18">
        <f t="shared" si="28"/>
        <v>0</v>
      </c>
      <c r="AN18">
        <f t="shared" si="29"/>
        <v>0.35661917576312374</v>
      </c>
      <c r="AO18">
        <f t="shared" si="0"/>
        <v>3.4985413811788255E-2</v>
      </c>
      <c r="AP18">
        <f t="shared" si="1"/>
        <v>0.5</v>
      </c>
      <c r="AQ18">
        <f t="shared" si="2"/>
        <v>0.5</v>
      </c>
      <c r="AR18" s="17">
        <f t="shared" si="30"/>
        <v>0</v>
      </c>
      <c r="AS18" s="17">
        <f t="shared" si="3"/>
        <v>1</v>
      </c>
      <c r="AT18" s="17">
        <f t="shared" si="4"/>
        <v>0</v>
      </c>
      <c r="AU18" s="17">
        <f t="shared" si="5"/>
        <v>0</v>
      </c>
      <c r="AV18" s="17">
        <f t="shared" si="31"/>
        <v>0</v>
      </c>
      <c r="AY18">
        <v>6673</v>
      </c>
      <c r="AZ18" t="s">
        <v>118</v>
      </c>
      <c r="BA18">
        <v>86461</v>
      </c>
      <c r="BB18" s="17">
        <v>0</v>
      </c>
      <c r="BC18">
        <v>1</v>
      </c>
      <c r="BD18">
        <v>0</v>
      </c>
      <c r="BE18">
        <v>0</v>
      </c>
      <c r="BF18">
        <v>0</v>
      </c>
      <c r="BI18">
        <v>5160</v>
      </c>
      <c r="BJ18" t="s">
        <v>105</v>
      </c>
      <c r="BK18">
        <v>83951</v>
      </c>
      <c r="BL18">
        <v>1</v>
      </c>
      <c r="BM18" s="17">
        <v>0</v>
      </c>
      <c r="BN18">
        <v>0</v>
      </c>
      <c r="BO18">
        <v>0</v>
      </c>
      <c r="BP18">
        <v>0</v>
      </c>
      <c r="BS18">
        <v>5160</v>
      </c>
      <c r="BT18" t="s">
        <v>105</v>
      </c>
      <c r="BU18">
        <v>83951</v>
      </c>
      <c r="BV18">
        <v>1</v>
      </c>
      <c r="BW18">
        <v>0</v>
      </c>
      <c r="BX18" s="17">
        <v>0</v>
      </c>
      <c r="BY18">
        <v>0</v>
      </c>
      <c r="BZ18">
        <v>0</v>
      </c>
      <c r="CC18">
        <v>5160</v>
      </c>
      <c r="CD18" t="s">
        <v>105</v>
      </c>
      <c r="CE18">
        <v>83951</v>
      </c>
      <c r="CF18">
        <v>1</v>
      </c>
      <c r="CG18">
        <v>0</v>
      </c>
      <c r="CH18">
        <v>0</v>
      </c>
      <c r="CI18" s="17">
        <v>0</v>
      </c>
      <c r="CJ18">
        <v>0</v>
      </c>
      <c r="CM18">
        <v>5160</v>
      </c>
      <c r="CN18" t="s">
        <v>105</v>
      </c>
      <c r="CO18">
        <v>83951</v>
      </c>
      <c r="CP18">
        <v>1</v>
      </c>
      <c r="CQ18">
        <v>0</v>
      </c>
      <c r="CR18">
        <v>0</v>
      </c>
      <c r="CS18">
        <v>0</v>
      </c>
      <c r="CT18" s="17">
        <v>0</v>
      </c>
    </row>
    <row r="19" spans="1:98">
      <c r="A19">
        <f t="shared" si="32"/>
        <v>12</v>
      </c>
      <c r="B19">
        <v>8179</v>
      </c>
      <c r="C19" t="s">
        <v>125</v>
      </c>
      <c r="D19">
        <v>0</v>
      </c>
      <c r="E19">
        <v>10036</v>
      </c>
      <c r="F19">
        <v>17654</v>
      </c>
      <c r="G19">
        <v>20579</v>
      </c>
      <c r="H19">
        <v>15812</v>
      </c>
      <c r="I19">
        <v>12604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f t="shared" si="6"/>
        <v>27690</v>
      </c>
      <c r="Q19">
        <f t="shared" si="7"/>
        <v>48995</v>
      </c>
      <c r="R19">
        <f t="shared" si="8"/>
        <v>0</v>
      </c>
      <c r="S19">
        <f t="shared" si="9"/>
        <v>0</v>
      </c>
      <c r="T19" s="17">
        <f t="shared" si="10"/>
        <v>76685</v>
      </c>
      <c r="U19">
        <v>3</v>
      </c>
      <c r="V19">
        <f t="shared" si="11"/>
        <v>2</v>
      </c>
      <c r="W19">
        <f t="shared" si="12"/>
        <v>9230</v>
      </c>
      <c r="X19">
        <f t="shared" si="13"/>
        <v>16331.666666666666</v>
      </c>
      <c r="Y19">
        <f t="shared" si="14"/>
        <v>0</v>
      </c>
      <c r="Z19">
        <f t="shared" si="15"/>
        <v>0</v>
      </c>
      <c r="AA19">
        <f t="shared" si="16"/>
        <v>6390.416666666667</v>
      </c>
      <c r="AB19">
        <f t="shared" si="17"/>
        <v>2839.583333333333</v>
      </c>
      <c r="AC19">
        <f t="shared" si="18"/>
        <v>9941.25</v>
      </c>
      <c r="AD19">
        <f t="shared" si="19"/>
        <v>-6390.416666666667</v>
      </c>
      <c r="AE19">
        <f t="shared" si="20"/>
        <v>-6390.416666666667</v>
      </c>
      <c r="AF19">
        <f t="shared" si="21"/>
        <v>8854.5556636118108</v>
      </c>
      <c r="AG19">
        <f t="shared" si="22"/>
        <v>4012.8165088044225</v>
      </c>
      <c r="AH19">
        <f t="shared" si="23"/>
        <v>0</v>
      </c>
      <c r="AI19">
        <f t="shared" si="24"/>
        <v>0</v>
      </c>
      <c r="AJ19">
        <f t="shared" si="25"/>
        <v>0.45352668321817835</v>
      </c>
      <c r="AK19">
        <f t="shared" si="26"/>
        <v>3.5035368664614777</v>
      </c>
      <c r="AL19">
        <f t="shared" si="27"/>
        <v>0</v>
      </c>
      <c r="AM19">
        <f t="shared" si="28"/>
        <v>0</v>
      </c>
      <c r="AN19">
        <f t="shared" si="29"/>
        <v>0.34731338738614959</v>
      </c>
      <c r="AO19">
        <f t="shared" si="0"/>
        <v>3.6348010512622903E-2</v>
      </c>
      <c r="AP19">
        <f t="shared" si="1"/>
        <v>0.5</v>
      </c>
      <c r="AQ19">
        <f t="shared" si="2"/>
        <v>0.5</v>
      </c>
      <c r="AR19" s="17">
        <f t="shared" si="30"/>
        <v>0</v>
      </c>
      <c r="AS19" s="17">
        <f t="shared" si="3"/>
        <v>1</v>
      </c>
      <c r="AT19" s="17">
        <f t="shared" si="4"/>
        <v>0</v>
      </c>
      <c r="AU19" s="17">
        <f t="shared" si="5"/>
        <v>0</v>
      </c>
      <c r="AV19" s="17">
        <f t="shared" si="31"/>
        <v>0</v>
      </c>
      <c r="AY19">
        <v>8179</v>
      </c>
      <c r="AZ19" t="s">
        <v>124</v>
      </c>
      <c r="BA19">
        <v>76685</v>
      </c>
      <c r="BB19" s="17">
        <v>0</v>
      </c>
      <c r="BC19">
        <v>1</v>
      </c>
      <c r="BD19">
        <v>0</v>
      </c>
      <c r="BE19">
        <v>0</v>
      </c>
      <c r="BF19">
        <v>0</v>
      </c>
      <c r="BI19">
        <v>1275</v>
      </c>
      <c r="BJ19" t="s">
        <v>142</v>
      </c>
      <c r="BK19">
        <v>79216</v>
      </c>
      <c r="BL19">
        <v>1</v>
      </c>
      <c r="BM19" s="17">
        <v>0</v>
      </c>
      <c r="BN19">
        <v>0</v>
      </c>
      <c r="BO19">
        <v>0</v>
      </c>
      <c r="BP19">
        <v>0</v>
      </c>
      <c r="BS19">
        <v>1275</v>
      </c>
      <c r="BT19" t="s">
        <v>142</v>
      </c>
      <c r="BU19">
        <v>79216</v>
      </c>
      <c r="BV19">
        <v>1</v>
      </c>
      <c r="BW19">
        <v>0</v>
      </c>
      <c r="BX19" s="17">
        <v>0</v>
      </c>
      <c r="BY19">
        <v>0</v>
      </c>
      <c r="BZ19">
        <v>0</v>
      </c>
      <c r="CC19">
        <v>1275</v>
      </c>
      <c r="CD19" t="s">
        <v>142</v>
      </c>
      <c r="CE19">
        <v>79216</v>
      </c>
      <c r="CF19">
        <v>1</v>
      </c>
      <c r="CG19">
        <v>0</v>
      </c>
      <c r="CH19">
        <v>0</v>
      </c>
      <c r="CI19" s="17">
        <v>0</v>
      </c>
      <c r="CJ19">
        <v>0</v>
      </c>
      <c r="CM19">
        <v>1275</v>
      </c>
      <c r="CN19" t="s">
        <v>142</v>
      </c>
      <c r="CO19">
        <v>79216</v>
      </c>
      <c r="CP19">
        <v>1</v>
      </c>
      <c r="CQ19">
        <v>0</v>
      </c>
      <c r="CR19">
        <v>0</v>
      </c>
      <c r="CS19">
        <v>0</v>
      </c>
      <c r="CT19" s="17">
        <v>0</v>
      </c>
    </row>
    <row r="20" spans="1:98">
      <c r="A20">
        <f t="shared" si="32"/>
        <v>13</v>
      </c>
      <c r="B20">
        <v>2793</v>
      </c>
      <c r="C20" t="s">
        <v>147</v>
      </c>
      <c r="D20">
        <v>0</v>
      </c>
      <c r="E20">
        <v>0</v>
      </c>
      <c r="F20">
        <v>0</v>
      </c>
      <c r="G20">
        <v>0</v>
      </c>
      <c r="H20">
        <v>11308</v>
      </c>
      <c r="I20">
        <v>18926</v>
      </c>
      <c r="J20">
        <v>24825</v>
      </c>
      <c r="K20">
        <v>19062</v>
      </c>
      <c r="L20">
        <v>10317</v>
      </c>
      <c r="M20">
        <v>0</v>
      </c>
      <c r="N20">
        <v>0</v>
      </c>
      <c r="O20">
        <v>0</v>
      </c>
      <c r="P20">
        <f t="shared" si="6"/>
        <v>0</v>
      </c>
      <c r="Q20">
        <f t="shared" si="7"/>
        <v>30234</v>
      </c>
      <c r="R20">
        <f t="shared" si="8"/>
        <v>54204</v>
      </c>
      <c r="S20">
        <f t="shared" si="9"/>
        <v>0</v>
      </c>
      <c r="T20" s="17">
        <f t="shared" si="10"/>
        <v>84438</v>
      </c>
      <c r="U20">
        <v>3</v>
      </c>
      <c r="V20">
        <f t="shared" si="11"/>
        <v>2</v>
      </c>
      <c r="W20">
        <f t="shared" si="12"/>
        <v>0</v>
      </c>
      <c r="X20">
        <f t="shared" si="13"/>
        <v>10078</v>
      </c>
      <c r="Y20">
        <f t="shared" si="14"/>
        <v>18068</v>
      </c>
      <c r="Z20">
        <f t="shared" si="15"/>
        <v>0</v>
      </c>
      <c r="AA20">
        <f t="shared" si="16"/>
        <v>7036.5</v>
      </c>
      <c r="AB20">
        <f t="shared" si="17"/>
        <v>-7036.5</v>
      </c>
      <c r="AC20">
        <f t="shared" si="18"/>
        <v>3041.5</v>
      </c>
      <c r="AD20">
        <f t="shared" si="19"/>
        <v>11031.5</v>
      </c>
      <c r="AE20">
        <f t="shared" si="20"/>
        <v>-7036.5</v>
      </c>
      <c r="AF20">
        <f t="shared" si="21"/>
        <v>0</v>
      </c>
      <c r="AG20">
        <f t="shared" si="22"/>
        <v>9522.7645145724364</v>
      </c>
      <c r="AH20">
        <f t="shared" si="23"/>
        <v>7304.8985619240466</v>
      </c>
      <c r="AI20">
        <f t="shared" si="24"/>
        <v>0</v>
      </c>
      <c r="AJ20">
        <f t="shared" si="25"/>
        <v>0</v>
      </c>
      <c r="AK20">
        <f t="shared" si="26"/>
        <v>0.4516892697887841</v>
      </c>
      <c r="AL20">
        <f t="shared" si="27"/>
        <v>2.135676050949797</v>
      </c>
      <c r="AM20">
        <f t="shared" si="28"/>
        <v>0</v>
      </c>
      <c r="AN20">
        <f t="shared" si="29"/>
        <v>0.5</v>
      </c>
      <c r="AO20">
        <f t="shared" si="0"/>
        <v>0.34787461249419693</v>
      </c>
      <c r="AP20">
        <f t="shared" si="1"/>
        <v>8.3114634436338292E-2</v>
      </c>
      <c r="AQ20">
        <f t="shared" si="2"/>
        <v>0.5</v>
      </c>
      <c r="AR20" s="17">
        <f t="shared" si="30"/>
        <v>0</v>
      </c>
      <c r="AS20" s="17">
        <f t="shared" si="3"/>
        <v>0</v>
      </c>
      <c r="AT20" s="17">
        <f t="shared" si="4"/>
        <v>1</v>
      </c>
      <c r="AU20" s="17">
        <f t="shared" si="5"/>
        <v>0</v>
      </c>
      <c r="AV20" s="17">
        <f t="shared" si="31"/>
        <v>0</v>
      </c>
      <c r="AY20">
        <v>2793</v>
      </c>
      <c r="AZ20" t="s">
        <v>146</v>
      </c>
      <c r="BA20">
        <v>84438</v>
      </c>
      <c r="BB20" s="17">
        <v>0</v>
      </c>
      <c r="BC20">
        <v>0</v>
      </c>
      <c r="BD20">
        <v>1</v>
      </c>
      <c r="BE20">
        <v>0</v>
      </c>
      <c r="BF20">
        <v>0</v>
      </c>
      <c r="BI20">
        <v>2793</v>
      </c>
      <c r="BJ20" t="s">
        <v>146</v>
      </c>
      <c r="BK20">
        <v>84438</v>
      </c>
      <c r="BL20">
        <v>0</v>
      </c>
      <c r="BM20" s="17">
        <v>0</v>
      </c>
      <c r="BN20">
        <v>1</v>
      </c>
      <c r="BO20">
        <v>0</v>
      </c>
      <c r="BP20">
        <v>0</v>
      </c>
      <c r="BS20">
        <v>9233</v>
      </c>
      <c r="BT20" t="s">
        <v>148</v>
      </c>
      <c r="BU20">
        <v>84711</v>
      </c>
      <c r="BV20">
        <v>0</v>
      </c>
      <c r="BW20">
        <v>1</v>
      </c>
      <c r="BX20" s="17">
        <v>0</v>
      </c>
      <c r="BY20">
        <v>0</v>
      </c>
      <c r="BZ20">
        <v>0</v>
      </c>
      <c r="CC20">
        <v>9233</v>
      </c>
      <c r="CD20" t="s">
        <v>148</v>
      </c>
      <c r="CE20">
        <v>84711</v>
      </c>
      <c r="CF20">
        <v>0</v>
      </c>
      <c r="CG20">
        <v>1</v>
      </c>
      <c r="CH20">
        <v>0</v>
      </c>
      <c r="CI20" s="17">
        <v>0</v>
      </c>
      <c r="CJ20">
        <v>0</v>
      </c>
      <c r="CM20">
        <v>9233</v>
      </c>
      <c r="CN20" t="s">
        <v>148</v>
      </c>
      <c r="CO20">
        <v>84711</v>
      </c>
      <c r="CP20">
        <v>0</v>
      </c>
      <c r="CQ20">
        <v>1</v>
      </c>
      <c r="CR20">
        <v>0</v>
      </c>
      <c r="CS20">
        <v>0</v>
      </c>
      <c r="CT20" s="17">
        <v>0</v>
      </c>
    </row>
    <row r="21" spans="1:98">
      <c r="A21">
        <f t="shared" si="32"/>
        <v>14</v>
      </c>
      <c r="B21">
        <v>6095</v>
      </c>
      <c r="C21" t="s">
        <v>140</v>
      </c>
      <c r="D21">
        <v>0</v>
      </c>
      <c r="E21">
        <v>0</v>
      </c>
      <c r="F21">
        <v>0</v>
      </c>
      <c r="G21">
        <v>0</v>
      </c>
      <c r="H21">
        <v>12969</v>
      </c>
      <c r="I21">
        <v>16296</v>
      </c>
      <c r="J21">
        <v>21874</v>
      </c>
      <c r="K21">
        <v>17517</v>
      </c>
      <c r="L21">
        <v>12815</v>
      </c>
      <c r="M21">
        <v>0</v>
      </c>
      <c r="N21">
        <v>0</v>
      </c>
      <c r="O21">
        <v>0</v>
      </c>
      <c r="P21">
        <f t="shared" si="6"/>
        <v>0</v>
      </c>
      <c r="Q21">
        <f t="shared" si="7"/>
        <v>29265</v>
      </c>
      <c r="R21">
        <f t="shared" si="8"/>
        <v>52206</v>
      </c>
      <c r="S21">
        <f t="shared" si="9"/>
        <v>0</v>
      </c>
      <c r="T21" s="17">
        <f t="shared" si="10"/>
        <v>81471</v>
      </c>
      <c r="U21">
        <v>3</v>
      </c>
      <c r="V21">
        <f t="shared" si="11"/>
        <v>2</v>
      </c>
      <c r="W21">
        <f t="shared" si="12"/>
        <v>0</v>
      </c>
      <c r="X21">
        <f t="shared" si="13"/>
        <v>9755</v>
      </c>
      <c r="Y21">
        <f t="shared" si="14"/>
        <v>17402</v>
      </c>
      <c r="Z21">
        <f t="shared" si="15"/>
        <v>0</v>
      </c>
      <c r="AA21">
        <f t="shared" si="16"/>
        <v>6789.25</v>
      </c>
      <c r="AB21">
        <f t="shared" si="17"/>
        <v>-6789.25</v>
      </c>
      <c r="AC21">
        <f t="shared" si="18"/>
        <v>2965.75</v>
      </c>
      <c r="AD21">
        <f t="shared" si="19"/>
        <v>10612.75</v>
      </c>
      <c r="AE21">
        <f t="shared" si="20"/>
        <v>-6789.25</v>
      </c>
      <c r="AF21">
        <f t="shared" si="21"/>
        <v>0</v>
      </c>
      <c r="AG21">
        <f t="shared" si="22"/>
        <v>8610.2991237238675</v>
      </c>
      <c r="AH21">
        <f t="shared" si="23"/>
        <v>4530.594773316192</v>
      </c>
      <c r="AI21">
        <f t="shared" si="24"/>
        <v>0</v>
      </c>
      <c r="AJ21">
        <f t="shared" si="25"/>
        <v>0</v>
      </c>
      <c r="AK21">
        <f t="shared" si="26"/>
        <v>0.48711476945693566</v>
      </c>
      <c r="AL21">
        <f t="shared" si="27"/>
        <v>3.3127427490252841</v>
      </c>
      <c r="AM21">
        <f t="shared" si="28"/>
        <v>0</v>
      </c>
      <c r="AN21">
        <f t="shared" si="29"/>
        <v>0.5</v>
      </c>
      <c r="AO21">
        <f t="shared" si="0"/>
        <v>0.33716751364937741</v>
      </c>
      <c r="AP21">
        <f t="shared" si="1"/>
        <v>4.0149839576334626E-2</v>
      </c>
      <c r="AQ21">
        <f t="shared" si="2"/>
        <v>0.5</v>
      </c>
      <c r="AR21" s="17">
        <f t="shared" si="30"/>
        <v>0</v>
      </c>
      <c r="AS21" s="17">
        <f t="shared" si="3"/>
        <v>0</v>
      </c>
      <c r="AT21" s="17">
        <f t="shared" si="4"/>
        <v>1</v>
      </c>
      <c r="AU21" s="17">
        <f t="shared" si="5"/>
        <v>0</v>
      </c>
      <c r="AV21" s="17">
        <f t="shared" si="31"/>
        <v>0</v>
      </c>
      <c r="AY21">
        <v>6095</v>
      </c>
      <c r="AZ21" t="s">
        <v>139</v>
      </c>
      <c r="BA21">
        <v>81471</v>
      </c>
      <c r="BB21" s="17">
        <v>0</v>
      </c>
      <c r="BC21">
        <v>0</v>
      </c>
      <c r="BD21">
        <v>1</v>
      </c>
      <c r="BE21">
        <v>0</v>
      </c>
      <c r="BF21">
        <v>0</v>
      </c>
      <c r="BI21">
        <v>6095</v>
      </c>
      <c r="BJ21" t="s">
        <v>139</v>
      </c>
      <c r="BK21">
        <v>81471</v>
      </c>
      <c r="BL21">
        <v>0</v>
      </c>
      <c r="BM21" s="17">
        <v>0</v>
      </c>
      <c r="BN21">
        <v>1</v>
      </c>
      <c r="BO21">
        <v>0</v>
      </c>
      <c r="BP21">
        <v>0</v>
      </c>
      <c r="BS21">
        <v>3051</v>
      </c>
      <c r="BT21" t="s">
        <v>111</v>
      </c>
      <c r="BU21">
        <v>81726</v>
      </c>
      <c r="BV21">
        <v>0</v>
      </c>
      <c r="BW21">
        <v>1</v>
      </c>
      <c r="BX21" s="17">
        <v>0</v>
      </c>
      <c r="BY21">
        <v>0</v>
      </c>
      <c r="BZ21">
        <v>0</v>
      </c>
      <c r="CC21">
        <v>3051</v>
      </c>
      <c r="CD21" t="s">
        <v>111</v>
      </c>
      <c r="CE21">
        <v>81726</v>
      </c>
      <c r="CF21">
        <v>0</v>
      </c>
      <c r="CG21">
        <v>1</v>
      </c>
      <c r="CH21">
        <v>0</v>
      </c>
      <c r="CI21" s="17">
        <v>0</v>
      </c>
      <c r="CJ21">
        <v>0</v>
      </c>
      <c r="CM21">
        <v>3051</v>
      </c>
      <c r="CN21" t="s">
        <v>111</v>
      </c>
      <c r="CO21">
        <v>81726</v>
      </c>
      <c r="CP21">
        <v>0</v>
      </c>
      <c r="CQ21">
        <v>1</v>
      </c>
      <c r="CR21">
        <v>0</v>
      </c>
      <c r="CS21">
        <v>0</v>
      </c>
      <c r="CT21" s="17">
        <v>0</v>
      </c>
    </row>
    <row r="22" spans="1:98">
      <c r="A22">
        <f t="shared" si="32"/>
        <v>15</v>
      </c>
      <c r="B22">
        <v>5833</v>
      </c>
      <c r="C22" t="s">
        <v>135</v>
      </c>
      <c r="D22">
        <v>0</v>
      </c>
      <c r="E22">
        <v>0</v>
      </c>
      <c r="F22">
        <v>0</v>
      </c>
      <c r="G22">
        <v>0</v>
      </c>
      <c r="H22">
        <v>11720</v>
      </c>
      <c r="I22">
        <v>19275</v>
      </c>
      <c r="J22">
        <v>20552</v>
      </c>
      <c r="K22">
        <v>15686</v>
      </c>
      <c r="L22">
        <v>14292</v>
      </c>
      <c r="M22">
        <v>0</v>
      </c>
      <c r="N22">
        <v>0</v>
      </c>
      <c r="O22">
        <v>0</v>
      </c>
      <c r="P22">
        <f t="shared" si="6"/>
        <v>0</v>
      </c>
      <c r="Q22">
        <f t="shared" si="7"/>
        <v>30995</v>
      </c>
      <c r="R22">
        <f t="shared" si="8"/>
        <v>50530</v>
      </c>
      <c r="S22">
        <f t="shared" si="9"/>
        <v>0</v>
      </c>
      <c r="T22" s="17">
        <f t="shared" si="10"/>
        <v>81525</v>
      </c>
      <c r="U22">
        <v>3</v>
      </c>
      <c r="V22">
        <f t="shared" si="11"/>
        <v>2</v>
      </c>
      <c r="W22">
        <f t="shared" si="12"/>
        <v>0</v>
      </c>
      <c r="X22">
        <f t="shared" si="13"/>
        <v>10331.666666666666</v>
      </c>
      <c r="Y22">
        <f t="shared" si="14"/>
        <v>16843.333333333332</v>
      </c>
      <c r="Z22">
        <f t="shared" si="15"/>
        <v>0</v>
      </c>
      <c r="AA22">
        <f t="shared" si="16"/>
        <v>6793.75</v>
      </c>
      <c r="AB22">
        <f t="shared" si="17"/>
        <v>-6793.75</v>
      </c>
      <c r="AC22">
        <f t="shared" si="18"/>
        <v>3537.9166666666661</v>
      </c>
      <c r="AD22">
        <f t="shared" si="19"/>
        <v>10049.583333333332</v>
      </c>
      <c r="AE22">
        <f t="shared" si="20"/>
        <v>-6793.75</v>
      </c>
      <c r="AF22">
        <f t="shared" si="21"/>
        <v>0</v>
      </c>
      <c r="AG22">
        <f t="shared" si="22"/>
        <v>9712.2092406070697</v>
      </c>
      <c r="AH22">
        <f t="shared" si="23"/>
        <v>3286.5582808362478</v>
      </c>
      <c r="AI22">
        <f t="shared" si="24"/>
        <v>0</v>
      </c>
      <c r="AJ22">
        <f t="shared" si="25"/>
        <v>0</v>
      </c>
      <c r="AK22">
        <f t="shared" si="26"/>
        <v>0.51516288504437868</v>
      </c>
      <c r="AL22">
        <f t="shared" si="27"/>
        <v>4.324358746068663</v>
      </c>
      <c r="AM22">
        <f t="shared" si="28"/>
        <v>0</v>
      </c>
      <c r="AN22">
        <f t="shared" si="29"/>
        <v>0.5</v>
      </c>
      <c r="AO22">
        <f t="shared" si="0"/>
        <v>0.32886343400843848</v>
      </c>
      <c r="AP22">
        <f t="shared" si="1"/>
        <v>2.4767948991249285E-2</v>
      </c>
      <c r="AQ22">
        <f t="shared" si="2"/>
        <v>0.5</v>
      </c>
      <c r="AR22" s="17">
        <f t="shared" si="30"/>
        <v>0</v>
      </c>
      <c r="AS22" s="17">
        <f t="shared" si="3"/>
        <v>0</v>
      </c>
      <c r="AT22" s="17">
        <f t="shared" si="4"/>
        <v>1</v>
      </c>
      <c r="AU22" s="17">
        <f t="shared" si="5"/>
        <v>0</v>
      </c>
      <c r="AV22" s="17">
        <f t="shared" si="31"/>
        <v>0</v>
      </c>
      <c r="AY22">
        <v>5833</v>
      </c>
      <c r="AZ22" t="s">
        <v>134</v>
      </c>
      <c r="BA22">
        <v>81525</v>
      </c>
      <c r="BB22" s="17">
        <v>0</v>
      </c>
      <c r="BC22">
        <v>0</v>
      </c>
      <c r="BD22">
        <v>1</v>
      </c>
      <c r="BE22">
        <v>0</v>
      </c>
      <c r="BF22">
        <v>0</v>
      </c>
      <c r="BI22">
        <v>5833</v>
      </c>
      <c r="BJ22" t="s">
        <v>134</v>
      </c>
      <c r="BK22">
        <v>81525</v>
      </c>
      <c r="BL22">
        <v>0</v>
      </c>
      <c r="BM22" s="17">
        <v>0</v>
      </c>
      <c r="BN22">
        <v>1</v>
      </c>
      <c r="BO22">
        <v>0</v>
      </c>
      <c r="BP22">
        <v>0</v>
      </c>
      <c r="BS22">
        <v>9803</v>
      </c>
      <c r="BT22" t="s">
        <v>107</v>
      </c>
      <c r="BU22">
        <v>78799</v>
      </c>
      <c r="BV22">
        <v>0</v>
      </c>
      <c r="BW22">
        <v>1</v>
      </c>
      <c r="BX22" s="17">
        <v>0</v>
      </c>
      <c r="BY22">
        <v>0</v>
      </c>
      <c r="BZ22">
        <v>0</v>
      </c>
      <c r="CC22">
        <v>9803</v>
      </c>
      <c r="CD22" t="s">
        <v>107</v>
      </c>
      <c r="CE22">
        <v>78799</v>
      </c>
      <c r="CF22">
        <v>0</v>
      </c>
      <c r="CG22">
        <v>1</v>
      </c>
      <c r="CH22">
        <v>0</v>
      </c>
      <c r="CI22" s="17">
        <v>0</v>
      </c>
      <c r="CJ22">
        <v>0</v>
      </c>
      <c r="CM22">
        <v>9803</v>
      </c>
      <c r="CN22" t="s">
        <v>107</v>
      </c>
      <c r="CO22">
        <v>78799</v>
      </c>
      <c r="CP22">
        <v>0</v>
      </c>
      <c r="CQ22">
        <v>1</v>
      </c>
      <c r="CR22">
        <v>0</v>
      </c>
      <c r="CS22">
        <v>0</v>
      </c>
      <c r="CT22" s="17">
        <v>0</v>
      </c>
    </row>
    <row r="23" spans="1:98">
      <c r="A23">
        <f t="shared" si="32"/>
        <v>16</v>
      </c>
      <c r="B23">
        <v>5918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10376</v>
      </c>
      <c r="I23">
        <v>16411</v>
      </c>
      <c r="J23">
        <v>22276</v>
      </c>
      <c r="K23">
        <v>17101</v>
      </c>
      <c r="L23">
        <v>11283</v>
      </c>
      <c r="M23">
        <v>0</v>
      </c>
      <c r="N23">
        <v>0</v>
      </c>
      <c r="O23">
        <v>0</v>
      </c>
      <c r="P23">
        <f t="shared" si="6"/>
        <v>0</v>
      </c>
      <c r="Q23">
        <f t="shared" si="7"/>
        <v>26787</v>
      </c>
      <c r="R23">
        <f t="shared" si="8"/>
        <v>50660</v>
      </c>
      <c r="S23">
        <f t="shared" si="9"/>
        <v>0</v>
      </c>
      <c r="T23" s="17">
        <f t="shared" si="10"/>
        <v>77447</v>
      </c>
      <c r="U23">
        <v>3</v>
      </c>
      <c r="V23">
        <f t="shared" si="11"/>
        <v>2</v>
      </c>
      <c r="W23">
        <f t="shared" si="12"/>
        <v>0</v>
      </c>
      <c r="X23">
        <f t="shared" si="13"/>
        <v>8929</v>
      </c>
      <c r="Y23">
        <f t="shared" si="14"/>
        <v>16886.666666666668</v>
      </c>
      <c r="Z23">
        <f t="shared" si="15"/>
        <v>0</v>
      </c>
      <c r="AA23">
        <f t="shared" si="16"/>
        <v>6453.916666666667</v>
      </c>
      <c r="AB23">
        <f t="shared" si="17"/>
        <v>-6453.916666666667</v>
      </c>
      <c r="AC23">
        <f t="shared" si="18"/>
        <v>2475.083333333333</v>
      </c>
      <c r="AD23">
        <f t="shared" si="19"/>
        <v>10432.75</v>
      </c>
      <c r="AE23">
        <f t="shared" si="20"/>
        <v>-6453.916666666667</v>
      </c>
      <c r="AF23">
        <f t="shared" si="21"/>
        <v>0</v>
      </c>
      <c r="AG23">
        <f t="shared" si="22"/>
        <v>8300.6377465830901</v>
      </c>
      <c r="AH23">
        <f t="shared" si="23"/>
        <v>5499.6332908052436</v>
      </c>
      <c r="AI23">
        <f t="shared" si="24"/>
        <v>0</v>
      </c>
      <c r="AJ23">
        <f t="shared" si="25"/>
        <v>0</v>
      </c>
      <c r="AK23">
        <f t="shared" si="26"/>
        <v>0.42169005862766201</v>
      </c>
      <c r="AL23">
        <f t="shared" si="27"/>
        <v>2.6827491512052508</v>
      </c>
      <c r="AM23">
        <f t="shared" si="28"/>
        <v>0</v>
      </c>
      <c r="AN23">
        <f t="shared" si="29"/>
        <v>0.5</v>
      </c>
      <c r="AO23">
        <f t="shared" si="0"/>
        <v>0.35712635448812863</v>
      </c>
      <c r="AP23">
        <f t="shared" si="1"/>
        <v>5.7693215774937585E-2</v>
      </c>
      <c r="AQ23">
        <f t="shared" si="2"/>
        <v>0.5</v>
      </c>
      <c r="AR23" s="17">
        <f t="shared" si="30"/>
        <v>0</v>
      </c>
      <c r="AS23" s="17">
        <f t="shared" si="3"/>
        <v>0</v>
      </c>
      <c r="AT23" s="17">
        <f t="shared" si="4"/>
        <v>1</v>
      </c>
      <c r="AU23" s="17">
        <f t="shared" si="5"/>
        <v>0</v>
      </c>
      <c r="AV23" s="17">
        <f t="shared" si="31"/>
        <v>0</v>
      </c>
      <c r="AY23">
        <v>5918</v>
      </c>
      <c r="AZ23" t="s">
        <v>115</v>
      </c>
      <c r="BA23">
        <v>77447</v>
      </c>
      <c r="BB23" s="17">
        <v>0</v>
      </c>
      <c r="BC23">
        <v>0</v>
      </c>
      <c r="BD23">
        <v>1</v>
      </c>
      <c r="BE23">
        <v>0</v>
      </c>
      <c r="BF23">
        <v>0</v>
      </c>
      <c r="BI23">
        <v>5918</v>
      </c>
      <c r="BJ23" t="s">
        <v>115</v>
      </c>
      <c r="BK23">
        <v>77447</v>
      </c>
      <c r="BL23">
        <v>0</v>
      </c>
      <c r="BM23" s="17">
        <v>0</v>
      </c>
      <c r="BN23">
        <v>1</v>
      </c>
      <c r="BO23">
        <v>0</v>
      </c>
      <c r="BP23">
        <v>0</v>
      </c>
      <c r="BS23">
        <v>237</v>
      </c>
      <c r="BT23" t="s">
        <v>144</v>
      </c>
      <c r="BU23">
        <v>86631</v>
      </c>
      <c r="BV23">
        <v>0</v>
      </c>
      <c r="BW23">
        <v>1</v>
      </c>
      <c r="BX23" s="17">
        <v>0</v>
      </c>
      <c r="BY23">
        <v>0</v>
      </c>
      <c r="BZ23">
        <v>0</v>
      </c>
      <c r="CC23">
        <v>237</v>
      </c>
      <c r="CD23" t="s">
        <v>144</v>
      </c>
      <c r="CE23">
        <v>86631</v>
      </c>
      <c r="CF23">
        <v>0</v>
      </c>
      <c r="CG23">
        <v>1</v>
      </c>
      <c r="CH23">
        <v>0</v>
      </c>
      <c r="CI23" s="17">
        <v>0</v>
      </c>
      <c r="CJ23">
        <v>0</v>
      </c>
      <c r="CM23">
        <v>237</v>
      </c>
      <c r="CN23" t="s">
        <v>144</v>
      </c>
      <c r="CO23">
        <v>86631</v>
      </c>
      <c r="CP23">
        <v>0</v>
      </c>
      <c r="CQ23">
        <v>1</v>
      </c>
      <c r="CR23">
        <v>0</v>
      </c>
      <c r="CS23">
        <v>0</v>
      </c>
      <c r="CT23" s="17">
        <v>0</v>
      </c>
    </row>
    <row r="24" spans="1:98">
      <c r="A24">
        <f t="shared" si="32"/>
        <v>17</v>
      </c>
      <c r="B24">
        <v>806</v>
      </c>
      <c r="C24" t="s">
        <v>110</v>
      </c>
      <c r="D24">
        <v>0</v>
      </c>
      <c r="E24">
        <v>0</v>
      </c>
      <c r="F24">
        <v>0</v>
      </c>
      <c r="G24">
        <v>0</v>
      </c>
      <c r="H24">
        <v>12350</v>
      </c>
      <c r="I24">
        <v>17728</v>
      </c>
      <c r="J24">
        <v>24682</v>
      </c>
      <c r="K24">
        <v>18685</v>
      </c>
      <c r="L24">
        <v>14819</v>
      </c>
      <c r="M24">
        <v>0</v>
      </c>
      <c r="N24">
        <v>0</v>
      </c>
      <c r="O24">
        <v>0</v>
      </c>
      <c r="P24">
        <f t="shared" si="6"/>
        <v>0</v>
      </c>
      <c r="Q24">
        <f t="shared" si="7"/>
        <v>30078</v>
      </c>
      <c r="R24">
        <f t="shared" si="8"/>
        <v>58186</v>
      </c>
      <c r="S24">
        <f t="shared" si="9"/>
        <v>0</v>
      </c>
      <c r="T24" s="17">
        <f t="shared" si="10"/>
        <v>88264</v>
      </c>
      <c r="U24">
        <v>3</v>
      </c>
      <c r="V24">
        <f t="shared" si="11"/>
        <v>2</v>
      </c>
      <c r="W24">
        <f t="shared" si="12"/>
        <v>0</v>
      </c>
      <c r="X24">
        <f t="shared" si="13"/>
        <v>10026</v>
      </c>
      <c r="Y24">
        <f t="shared" si="14"/>
        <v>19395.333333333332</v>
      </c>
      <c r="Z24">
        <f t="shared" si="15"/>
        <v>0</v>
      </c>
      <c r="AA24">
        <f t="shared" si="16"/>
        <v>7355.333333333333</v>
      </c>
      <c r="AB24">
        <f t="shared" si="17"/>
        <v>-7355.333333333333</v>
      </c>
      <c r="AC24">
        <f t="shared" si="18"/>
        <v>2670.666666666667</v>
      </c>
      <c r="AD24">
        <f t="shared" si="19"/>
        <v>12040</v>
      </c>
      <c r="AE24">
        <f t="shared" si="20"/>
        <v>-7355.333333333333</v>
      </c>
      <c r="AF24">
        <f t="shared" si="21"/>
        <v>0</v>
      </c>
      <c r="AG24">
        <f t="shared" si="22"/>
        <v>9089.6219943405795</v>
      </c>
      <c r="AH24">
        <f t="shared" si="23"/>
        <v>4969.7205488169429</v>
      </c>
      <c r="AI24">
        <f t="shared" si="24"/>
        <v>0</v>
      </c>
      <c r="AJ24">
        <f t="shared" si="25"/>
        <v>0</v>
      </c>
      <c r="AK24">
        <f t="shared" si="26"/>
        <v>0.4155170614277835</v>
      </c>
      <c r="AL24">
        <f t="shared" si="27"/>
        <v>3.4261747966946401</v>
      </c>
      <c r="AM24">
        <f t="shared" si="28"/>
        <v>0</v>
      </c>
      <c r="AN24">
        <f t="shared" si="29"/>
        <v>0.5</v>
      </c>
      <c r="AO24">
        <f t="shared" si="0"/>
        <v>0.35905050062383936</v>
      </c>
      <c r="AP24">
        <f t="shared" si="1"/>
        <v>3.782429186130238E-2</v>
      </c>
      <c r="AQ24">
        <f t="shared" si="2"/>
        <v>0.5</v>
      </c>
      <c r="AR24" s="17">
        <f t="shared" si="30"/>
        <v>0</v>
      </c>
      <c r="AS24" s="17">
        <f t="shared" si="3"/>
        <v>0</v>
      </c>
      <c r="AT24" s="17">
        <f t="shared" si="4"/>
        <v>1</v>
      </c>
      <c r="AU24" s="17">
        <f t="shared" si="5"/>
        <v>0</v>
      </c>
      <c r="AV24" s="17">
        <f t="shared" si="31"/>
        <v>0</v>
      </c>
      <c r="AY24">
        <v>806</v>
      </c>
      <c r="AZ24" t="s">
        <v>109</v>
      </c>
      <c r="BA24">
        <v>88264</v>
      </c>
      <c r="BB24" s="17">
        <v>0</v>
      </c>
      <c r="BC24">
        <v>0</v>
      </c>
      <c r="BD24">
        <v>1</v>
      </c>
      <c r="BE24">
        <v>0</v>
      </c>
      <c r="BF24">
        <v>0</v>
      </c>
      <c r="BI24">
        <v>806</v>
      </c>
      <c r="BJ24" t="s">
        <v>109</v>
      </c>
      <c r="BK24">
        <v>88264</v>
      </c>
      <c r="BL24">
        <v>0</v>
      </c>
      <c r="BM24" s="17">
        <v>0</v>
      </c>
      <c r="BN24">
        <v>1</v>
      </c>
      <c r="BO24">
        <v>0</v>
      </c>
      <c r="BP24">
        <v>0</v>
      </c>
      <c r="BS24">
        <v>6673</v>
      </c>
      <c r="BT24" t="s">
        <v>118</v>
      </c>
      <c r="BU24">
        <v>86461</v>
      </c>
      <c r="BV24">
        <v>0</v>
      </c>
      <c r="BW24">
        <v>1</v>
      </c>
      <c r="BX24" s="17">
        <v>0</v>
      </c>
      <c r="BY24">
        <v>0</v>
      </c>
      <c r="BZ24">
        <v>0</v>
      </c>
      <c r="CC24">
        <v>6673</v>
      </c>
      <c r="CD24" t="s">
        <v>118</v>
      </c>
      <c r="CE24">
        <v>86461</v>
      </c>
      <c r="CF24">
        <v>0</v>
      </c>
      <c r="CG24">
        <v>1</v>
      </c>
      <c r="CH24">
        <v>0</v>
      </c>
      <c r="CI24" s="17">
        <v>0</v>
      </c>
      <c r="CJ24">
        <v>0</v>
      </c>
      <c r="CM24">
        <v>6673</v>
      </c>
      <c r="CN24" t="s">
        <v>118</v>
      </c>
      <c r="CO24">
        <v>86461</v>
      </c>
      <c r="CP24">
        <v>0</v>
      </c>
      <c r="CQ24">
        <v>1</v>
      </c>
      <c r="CR24">
        <v>0</v>
      </c>
      <c r="CS24">
        <v>0</v>
      </c>
      <c r="CT24" s="17">
        <v>0</v>
      </c>
    </row>
    <row r="25" spans="1:98">
      <c r="A25">
        <f t="shared" si="32"/>
        <v>18</v>
      </c>
      <c r="B25">
        <v>717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10464</v>
      </c>
      <c r="I25">
        <v>18041</v>
      </c>
      <c r="J25">
        <v>21479</v>
      </c>
      <c r="K25">
        <v>17194</v>
      </c>
      <c r="L25">
        <v>10858</v>
      </c>
      <c r="M25">
        <v>0</v>
      </c>
      <c r="N25">
        <v>0</v>
      </c>
      <c r="O25">
        <v>0</v>
      </c>
      <c r="P25">
        <f t="shared" si="6"/>
        <v>0</v>
      </c>
      <c r="Q25">
        <f t="shared" si="7"/>
        <v>28505</v>
      </c>
      <c r="R25">
        <f t="shared" si="8"/>
        <v>49531</v>
      </c>
      <c r="S25">
        <f t="shared" si="9"/>
        <v>0</v>
      </c>
      <c r="T25" s="17">
        <f t="shared" si="10"/>
        <v>78036</v>
      </c>
      <c r="U25">
        <v>3</v>
      </c>
      <c r="V25">
        <f t="shared" si="11"/>
        <v>2</v>
      </c>
      <c r="W25">
        <f t="shared" si="12"/>
        <v>0</v>
      </c>
      <c r="X25">
        <f t="shared" si="13"/>
        <v>9501.6666666666661</v>
      </c>
      <c r="Y25">
        <f t="shared" si="14"/>
        <v>16510.333333333332</v>
      </c>
      <c r="Z25">
        <f t="shared" si="15"/>
        <v>0</v>
      </c>
      <c r="AA25">
        <f t="shared" si="16"/>
        <v>6503</v>
      </c>
      <c r="AB25">
        <f t="shared" si="17"/>
        <v>-6503</v>
      </c>
      <c r="AC25">
        <f t="shared" si="18"/>
        <v>2998.6666666666661</v>
      </c>
      <c r="AD25">
        <f t="shared" si="19"/>
        <v>10007.333333333332</v>
      </c>
      <c r="AE25">
        <f t="shared" si="20"/>
        <v>-6503</v>
      </c>
      <c r="AF25">
        <f t="shared" si="21"/>
        <v>0</v>
      </c>
      <c r="AG25">
        <f t="shared" si="22"/>
        <v>9058.9173930074739</v>
      </c>
      <c r="AH25">
        <f t="shared" si="23"/>
        <v>5343.4034410039931</v>
      </c>
      <c r="AI25">
        <f t="shared" si="24"/>
        <v>0</v>
      </c>
      <c r="AJ25">
        <f t="shared" si="25"/>
        <v>0</v>
      </c>
      <c r="AK25">
        <f t="shared" si="26"/>
        <v>0.46813044926422825</v>
      </c>
      <c r="AL25">
        <f t="shared" si="27"/>
        <v>2.6485940429999015</v>
      </c>
      <c r="AM25">
        <f t="shared" si="28"/>
        <v>0</v>
      </c>
      <c r="AN25">
        <f t="shared" si="29"/>
        <v>0.5</v>
      </c>
      <c r="AO25">
        <f t="shared" si="0"/>
        <v>0.3428754867429617</v>
      </c>
      <c r="AP25">
        <f t="shared" si="1"/>
        <v>5.8936293610785367E-2</v>
      </c>
      <c r="AQ25">
        <f t="shared" si="2"/>
        <v>0.5</v>
      </c>
      <c r="AR25" s="17">
        <f t="shared" si="30"/>
        <v>0</v>
      </c>
      <c r="AS25" s="17">
        <f t="shared" si="3"/>
        <v>0</v>
      </c>
      <c r="AT25" s="17">
        <f t="shared" si="4"/>
        <v>1</v>
      </c>
      <c r="AU25" s="17">
        <f t="shared" si="5"/>
        <v>0</v>
      </c>
      <c r="AV25" s="17">
        <f t="shared" si="31"/>
        <v>0</v>
      </c>
      <c r="AY25">
        <v>717</v>
      </c>
      <c r="AZ25" t="s">
        <v>116</v>
      </c>
      <c r="BA25">
        <v>78036</v>
      </c>
      <c r="BB25" s="17">
        <v>0</v>
      </c>
      <c r="BC25">
        <v>0</v>
      </c>
      <c r="BD25">
        <v>1</v>
      </c>
      <c r="BE25">
        <v>0</v>
      </c>
      <c r="BF25">
        <v>0</v>
      </c>
      <c r="BI25">
        <v>717</v>
      </c>
      <c r="BJ25" t="s">
        <v>116</v>
      </c>
      <c r="BK25">
        <v>78036</v>
      </c>
      <c r="BL25">
        <v>0</v>
      </c>
      <c r="BM25" s="17">
        <v>0</v>
      </c>
      <c r="BN25">
        <v>1</v>
      </c>
      <c r="BO25">
        <v>0</v>
      </c>
      <c r="BP25">
        <v>0</v>
      </c>
      <c r="BS25">
        <v>8179</v>
      </c>
      <c r="BT25" t="s">
        <v>124</v>
      </c>
      <c r="BU25">
        <v>76685</v>
      </c>
      <c r="BV25">
        <v>0</v>
      </c>
      <c r="BW25">
        <v>1</v>
      </c>
      <c r="BX25" s="17">
        <v>0</v>
      </c>
      <c r="BY25">
        <v>0</v>
      </c>
      <c r="BZ25">
        <v>0</v>
      </c>
      <c r="CC25">
        <v>8179</v>
      </c>
      <c r="CD25" t="s">
        <v>124</v>
      </c>
      <c r="CE25">
        <v>76685</v>
      </c>
      <c r="CF25">
        <v>0</v>
      </c>
      <c r="CG25">
        <v>1</v>
      </c>
      <c r="CH25">
        <v>0</v>
      </c>
      <c r="CI25" s="17">
        <v>0</v>
      </c>
      <c r="CJ25">
        <v>0</v>
      </c>
      <c r="CM25">
        <v>8179</v>
      </c>
      <c r="CN25" t="s">
        <v>124</v>
      </c>
      <c r="CO25">
        <v>76685</v>
      </c>
      <c r="CP25">
        <v>0</v>
      </c>
      <c r="CQ25">
        <v>1</v>
      </c>
      <c r="CR25">
        <v>0</v>
      </c>
      <c r="CS25">
        <v>0</v>
      </c>
      <c r="CT25" s="17">
        <v>0</v>
      </c>
    </row>
    <row r="26" spans="1:98">
      <c r="A26">
        <f t="shared" si="32"/>
        <v>19</v>
      </c>
      <c r="B26">
        <v>3678</v>
      </c>
      <c r="C26" t="s">
        <v>121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11814</v>
      </c>
      <c r="L26">
        <v>15620</v>
      </c>
      <c r="M26">
        <v>20703</v>
      </c>
      <c r="N26">
        <v>18188</v>
      </c>
      <c r="O26">
        <v>13340</v>
      </c>
      <c r="P26">
        <f t="shared" si="6"/>
        <v>0</v>
      </c>
      <c r="Q26">
        <f t="shared" si="7"/>
        <v>0</v>
      </c>
      <c r="R26">
        <f t="shared" si="8"/>
        <v>27434</v>
      </c>
      <c r="S26">
        <f t="shared" si="9"/>
        <v>52231</v>
      </c>
      <c r="T26" s="17">
        <f t="shared" si="10"/>
        <v>79665</v>
      </c>
      <c r="U26">
        <v>3</v>
      </c>
      <c r="V26">
        <f t="shared" si="11"/>
        <v>2</v>
      </c>
      <c r="W26">
        <f t="shared" si="12"/>
        <v>0</v>
      </c>
      <c r="X26">
        <f t="shared" si="13"/>
        <v>0</v>
      </c>
      <c r="Y26">
        <f t="shared" si="14"/>
        <v>9144.6666666666661</v>
      </c>
      <c r="Z26">
        <f t="shared" si="15"/>
        <v>17410.333333333332</v>
      </c>
      <c r="AA26">
        <f t="shared" si="16"/>
        <v>6638.75</v>
      </c>
      <c r="AB26">
        <f t="shared" si="17"/>
        <v>-6638.75</v>
      </c>
      <c r="AC26">
        <f t="shared" si="18"/>
        <v>-6638.75</v>
      </c>
      <c r="AD26">
        <f t="shared" si="19"/>
        <v>2505.9166666666661</v>
      </c>
      <c r="AE26">
        <f t="shared" si="20"/>
        <v>10771.583333333332</v>
      </c>
      <c r="AF26">
        <f t="shared" si="21"/>
        <v>0</v>
      </c>
      <c r="AG26">
        <f t="shared" si="22"/>
        <v>0</v>
      </c>
      <c r="AH26">
        <f t="shared" si="23"/>
        <v>8144.943543900923</v>
      </c>
      <c r="AI26">
        <f t="shared" si="24"/>
        <v>3742.5948663104473</v>
      </c>
      <c r="AJ26">
        <f t="shared" si="25"/>
        <v>0</v>
      </c>
      <c r="AK26">
        <f t="shared" si="26"/>
        <v>0</v>
      </c>
      <c r="AL26">
        <f t="shared" si="27"/>
        <v>0.43510446905804684</v>
      </c>
      <c r="AM26">
        <f t="shared" si="28"/>
        <v>4.0702560074981919</v>
      </c>
      <c r="AN26">
        <f t="shared" si="29"/>
        <v>0.5</v>
      </c>
      <c r="AO26">
        <f t="shared" si="0"/>
        <v>0.5</v>
      </c>
      <c r="AP26">
        <f t="shared" si="1"/>
        <v>0.35296885717527315</v>
      </c>
      <c r="AQ26">
        <f t="shared" si="2"/>
        <v>2.7696624853530829E-2</v>
      </c>
      <c r="AR26" s="17">
        <f t="shared" si="30"/>
        <v>0</v>
      </c>
      <c r="AS26" s="17">
        <f t="shared" si="3"/>
        <v>0</v>
      </c>
      <c r="AT26" s="17">
        <f t="shared" si="4"/>
        <v>0</v>
      </c>
      <c r="AU26" s="17">
        <f t="shared" si="5"/>
        <v>1</v>
      </c>
      <c r="AV26" s="17">
        <f t="shared" si="31"/>
        <v>0</v>
      </c>
      <c r="AY26">
        <v>3678</v>
      </c>
      <c r="AZ26" t="s">
        <v>120</v>
      </c>
      <c r="BA26">
        <v>79665</v>
      </c>
      <c r="BB26" s="17">
        <v>0</v>
      </c>
      <c r="BC26">
        <v>0</v>
      </c>
      <c r="BD26">
        <v>0</v>
      </c>
      <c r="BE26">
        <v>1</v>
      </c>
      <c r="BF26">
        <v>0</v>
      </c>
      <c r="BI26">
        <v>3678</v>
      </c>
      <c r="BJ26" t="s">
        <v>120</v>
      </c>
      <c r="BK26">
        <v>79665</v>
      </c>
      <c r="BL26">
        <v>0</v>
      </c>
      <c r="BM26" s="17">
        <v>0</v>
      </c>
      <c r="BN26">
        <v>0</v>
      </c>
      <c r="BO26">
        <v>1</v>
      </c>
      <c r="BP26">
        <v>0</v>
      </c>
      <c r="BS26">
        <v>3678</v>
      </c>
      <c r="BT26" t="s">
        <v>120</v>
      </c>
      <c r="BU26">
        <v>79665</v>
      </c>
      <c r="BV26">
        <v>0</v>
      </c>
      <c r="BW26">
        <v>0</v>
      </c>
      <c r="BX26" s="17">
        <v>0</v>
      </c>
      <c r="BY26">
        <v>1</v>
      </c>
      <c r="BZ26">
        <v>0</v>
      </c>
      <c r="CC26">
        <v>2793</v>
      </c>
      <c r="CD26" t="s">
        <v>146</v>
      </c>
      <c r="CE26">
        <v>84438</v>
      </c>
      <c r="CF26">
        <v>0</v>
      </c>
      <c r="CG26">
        <v>0</v>
      </c>
      <c r="CH26">
        <v>1</v>
      </c>
      <c r="CI26" s="17">
        <v>0</v>
      </c>
      <c r="CJ26">
        <v>0</v>
      </c>
      <c r="CM26">
        <v>2793</v>
      </c>
      <c r="CN26" t="s">
        <v>146</v>
      </c>
      <c r="CO26">
        <v>84438</v>
      </c>
      <c r="CP26">
        <v>0</v>
      </c>
      <c r="CQ26">
        <v>0</v>
      </c>
      <c r="CR26">
        <v>1</v>
      </c>
      <c r="CS26">
        <v>0</v>
      </c>
      <c r="CT26" s="17">
        <v>0</v>
      </c>
    </row>
    <row r="27" spans="1:98">
      <c r="A27">
        <f t="shared" si="32"/>
        <v>20</v>
      </c>
      <c r="B27">
        <v>1125</v>
      </c>
      <c r="C27" t="s">
        <v>137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13112</v>
      </c>
      <c r="L27">
        <v>19313</v>
      </c>
      <c r="M27">
        <v>21467</v>
      </c>
      <c r="N27">
        <v>18999</v>
      </c>
      <c r="O27">
        <v>14540</v>
      </c>
      <c r="P27">
        <f t="shared" si="6"/>
        <v>0</v>
      </c>
      <c r="Q27">
        <f t="shared" si="7"/>
        <v>0</v>
      </c>
      <c r="R27">
        <f t="shared" si="8"/>
        <v>32425</v>
      </c>
      <c r="S27">
        <f t="shared" si="9"/>
        <v>55006</v>
      </c>
      <c r="T27" s="17">
        <f t="shared" si="10"/>
        <v>87431</v>
      </c>
      <c r="U27">
        <v>3</v>
      </c>
      <c r="V27">
        <f t="shared" si="11"/>
        <v>2</v>
      </c>
      <c r="W27">
        <f t="shared" si="12"/>
        <v>0</v>
      </c>
      <c r="X27">
        <f t="shared" si="13"/>
        <v>0</v>
      </c>
      <c r="Y27">
        <f t="shared" si="14"/>
        <v>10808.333333333334</v>
      </c>
      <c r="Z27">
        <f t="shared" si="15"/>
        <v>18335.333333333332</v>
      </c>
      <c r="AA27">
        <f t="shared" si="16"/>
        <v>7285.916666666667</v>
      </c>
      <c r="AB27">
        <f t="shared" si="17"/>
        <v>-7285.916666666667</v>
      </c>
      <c r="AC27">
        <f t="shared" si="18"/>
        <v>-7285.916666666667</v>
      </c>
      <c r="AD27">
        <f t="shared" si="19"/>
        <v>3522.416666666667</v>
      </c>
      <c r="AE27">
        <f t="shared" si="20"/>
        <v>11049.416666666664</v>
      </c>
      <c r="AF27">
        <f t="shared" si="21"/>
        <v>0</v>
      </c>
      <c r="AG27">
        <f t="shared" si="22"/>
        <v>0</v>
      </c>
      <c r="AH27">
        <f t="shared" si="23"/>
        <v>9860.4336787655211</v>
      </c>
      <c r="AI27">
        <f t="shared" si="24"/>
        <v>3510.8648981886663</v>
      </c>
      <c r="AJ27">
        <f t="shared" si="25"/>
        <v>0</v>
      </c>
      <c r="AK27">
        <f t="shared" si="26"/>
        <v>0</v>
      </c>
      <c r="AL27">
        <f t="shared" si="27"/>
        <v>0.50519577379812397</v>
      </c>
      <c r="AM27">
        <f t="shared" si="28"/>
        <v>4.4508220508209355</v>
      </c>
      <c r="AN27">
        <f t="shared" si="29"/>
        <v>0.5</v>
      </c>
      <c r="AO27">
        <f t="shared" si="0"/>
        <v>0.5</v>
      </c>
      <c r="AP27">
        <f t="shared" si="1"/>
        <v>0.33179651516853281</v>
      </c>
      <c r="AQ27">
        <f t="shared" si="2"/>
        <v>2.3476607157174149E-2</v>
      </c>
      <c r="AR27" s="17">
        <f t="shared" si="30"/>
        <v>0</v>
      </c>
      <c r="AS27" s="17">
        <f t="shared" si="3"/>
        <v>0</v>
      </c>
      <c r="AT27" s="17">
        <f t="shared" si="4"/>
        <v>0</v>
      </c>
      <c r="AU27" s="17">
        <f t="shared" si="5"/>
        <v>1</v>
      </c>
      <c r="AV27" s="17">
        <f t="shared" si="31"/>
        <v>0</v>
      </c>
      <c r="AY27">
        <v>1125</v>
      </c>
      <c r="AZ27" t="s">
        <v>136</v>
      </c>
      <c r="BA27">
        <v>87431</v>
      </c>
      <c r="BB27" s="17">
        <v>0</v>
      </c>
      <c r="BC27">
        <v>0</v>
      </c>
      <c r="BD27">
        <v>0</v>
      </c>
      <c r="BE27">
        <v>1</v>
      </c>
      <c r="BF27">
        <v>0</v>
      </c>
      <c r="BI27">
        <v>1125</v>
      </c>
      <c r="BJ27" t="s">
        <v>136</v>
      </c>
      <c r="BK27">
        <v>87431</v>
      </c>
      <c r="BL27">
        <v>0</v>
      </c>
      <c r="BM27" s="17">
        <v>0</v>
      </c>
      <c r="BN27">
        <v>0</v>
      </c>
      <c r="BO27">
        <v>1</v>
      </c>
      <c r="BP27">
        <v>0</v>
      </c>
      <c r="BS27">
        <v>1125</v>
      </c>
      <c r="BT27" t="s">
        <v>136</v>
      </c>
      <c r="BU27">
        <v>87431</v>
      </c>
      <c r="BV27">
        <v>0</v>
      </c>
      <c r="BW27">
        <v>0</v>
      </c>
      <c r="BX27" s="17">
        <v>0</v>
      </c>
      <c r="BY27">
        <v>1</v>
      </c>
      <c r="BZ27">
        <v>0</v>
      </c>
      <c r="CC27">
        <v>6095</v>
      </c>
      <c r="CD27" t="s">
        <v>139</v>
      </c>
      <c r="CE27">
        <v>81471</v>
      </c>
      <c r="CF27">
        <v>0</v>
      </c>
      <c r="CG27">
        <v>0</v>
      </c>
      <c r="CH27">
        <v>1</v>
      </c>
      <c r="CI27" s="17">
        <v>0</v>
      </c>
      <c r="CJ27">
        <v>0</v>
      </c>
      <c r="CM27">
        <v>6095</v>
      </c>
      <c r="CN27" t="s">
        <v>139</v>
      </c>
      <c r="CO27">
        <v>81471</v>
      </c>
      <c r="CP27">
        <v>0</v>
      </c>
      <c r="CQ27">
        <v>0</v>
      </c>
      <c r="CR27">
        <v>1</v>
      </c>
      <c r="CS27">
        <v>0</v>
      </c>
      <c r="CT27" s="17">
        <v>0</v>
      </c>
    </row>
    <row r="28" spans="1:98">
      <c r="A28">
        <f t="shared" si="32"/>
        <v>21</v>
      </c>
      <c r="B28">
        <v>7252</v>
      </c>
      <c r="C28" t="s">
        <v>138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12269</v>
      </c>
      <c r="L28">
        <v>16983</v>
      </c>
      <c r="M28">
        <v>20891</v>
      </c>
      <c r="N28">
        <v>19610</v>
      </c>
      <c r="O28">
        <v>14995</v>
      </c>
      <c r="P28">
        <f t="shared" si="6"/>
        <v>0</v>
      </c>
      <c r="Q28">
        <f t="shared" si="7"/>
        <v>0</v>
      </c>
      <c r="R28">
        <f t="shared" si="8"/>
        <v>29252</v>
      </c>
      <c r="S28">
        <f t="shared" si="9"/>
        <v>55496</v>
      </c>
      <c r="T28" s="17">
        <f t="shared" si="10"/>
        <v>84748</v>
      </c>
      <c r="U28">
        <v>3</v>
      </c>
      <c r="V28">
        <f t="shared" si="11"/>
        <v>2</v>
      </c>
      <c r="W28">
        <f t="shared" si="12"/>
        <v>0</v>
      </c>
      <c r="X28">
        <f t="shared" si="13"/>
        <v>0</v>
      </c>
      <c r="Y28">
        <f t="shared" si="14"/>
        <v>9750.6666666666661</v>
      </c>
      <c r="Z28">
        <f t="shared" si="15"/>
        <v>18498.666666666668</v>
      </c>
      <c r="AA28">
        <f t="shared" si="16"/>
        <v>7062.333333333333</v>
      </c>
      <c r="AB28">
        <f t="shared" si="17"/>
        <v>-7062.333333333333</v>
      </c>
      <c r="AC28">
        <f t="shared" si="18"/>
        <v>-7062.333333333333</v>
      </c>
      <c r="AD28">
        <f t="shared" si="19"/>
        <v>2688.333333333333</v>
      </c>
      <c r="AE28">
        <f t="shared" si="20"/>
        <v>11436.333333333336</v>
      </c>
      <c r="AF28">
        <f t="shared" si="21"/>
        <v>0</v>
      </c>
      <c r="AG28">
        <f t="shared" si="22"/>
        <v>0</v>
      </c>
      <c r="AH28">
        <f t="shared" si="23"/>
        <v>8767.1018206322515</v>
      </c>
      <c r="AI28">
        <f t="shared" si="24"/>
        <v>3101.128880477771</v>
      </c>
      <c r="AJ28">
        <f t="shared" si="25"/>
        <v>0</v>
      </c>
      <c r="AK28">
        <f t="shared" si="26"/>
        <v>0</v>
      </c>
      <c r="AL28">
        <f t="shared" si="27"/>
        <v>0.43365270963688807</v>
      </c>
      <c r="AM28">
        <f t="shared" si="28"/>
        <v>5.2153323280546076</v>
      </c>
      <c r="AN28">
        <f t="shared" si="29"/>
        <v>0.5</v>
      </c>
      <c r="AO28">
        <f t="shared" si="0"/>
        <v>0.5</v>
      </c>
      <c r="AP28">
        <f t="shared" si="1"/>
        <v>0.35341720988902514</v>
      </c>
      <c r="AQ28">
        <f t="shared" si="2"/>
        <v>1.7427175134969001E-2</v>
      </c>
      <c r="AR28" s="17">
        <f t="shared" si="30"/>
        <v>0</v>
      </c>
      <c r="AS28" s="17">
        <f t="shared" si="3"/>
        <v>0</v>
      </c>
      <c r="AT28" s="17">
        <f t="shared" si="4"/>
        <v>0</v>
      </c>
      <c r="AU28" s="17">
        <f t="shared" si="5"/>
        <v>1</v>
      </c>
      <c r="AV28" s="17">
        <f t="shared" si="31"/>
        <v>0</v>
      </c>
      <c r="AY28">
        <v>7252</v>
      </c>
      <c r="AZ28" t="s">
        <v>138</v>
      </c>
      <c r="BA28">
        <v>84748</v>
      </c>
      <c r="BB28" s="17">
        <v>0</v>
      </c>
      <c r="BC28">
        <v>0</v>
      </c>
      <c r="BD28">
        <v>0</v>
      </c>
      <c r="BE28">
        <v>1</v>
      </c>
      <c r="BF28">
        <v>0</v>
      </c>
      <c r="BI28">
        <v>7252</v>
      </c>
      <c r="BJ28" t="s">
        <v>138</v>
      </c>
      <c r="BK28">
        <v>84748</v>
      </c>
      <c r="BL28">
        <v>0</v>
      </c>
      <c r="BM28" s="17">
        <v>0</v>
      </c>
      <c r="BN28">
        <v>0</v>
      </c>
      <c r="BO28">
        <v>1</v>
      </c>
      <c r="BP28">
        <v>0</v>
      </c>
      <c r="BS28">
        <v>7252</v>
      </c>
      <c r="BT28" t="s">
        <v>138</v>
      </c>
      <c r="BU28">
        <v>84748</v>
      </c>
      <c r="BV28">
        <v>0</v>
      </c>
      <c r="BW28">
        <v>0</v>
      </c>
      <c r="BX28" s="17">
        <v>0</v>
      </c>
      <c r="BY28">
        <v>1</v>
      </c>
      <c r="BZ28">
        <v>0</v>
      </c>
      <c r="CC28">
        <v>5833</v>
      </c>
      <c r="CD28" t="s">
        <v>134</v>
      </c>
      <c r="CE28">
        <v>81525</v>
      </c>
      <c r="CF28">
        <v>0</v>
      </c>
      <c r="CG28">
        <v>0</v>
      </c>
      <c r="CH28">
        <v>1</v>
      </c>
      <c r="CI28" s="17">
        <v>0</v>
      </c>
      <c r="CJ28">
        <v>0</v>
      </c>
      <c r="CM28">
        <v>5833</v>
      </c>
      <c r="CN28" t="s">
        <v>134</v>
      </c>
      <c r="CO28">
        <v>81525</v>
      </c>
      <c r="CP28">
        <v>0</v>
      </c>
      <c r="CQ28">
        <v>0</v>
      </c>
      <c r="CR28">
        <v>1</v>
      </c>
      <c r="CS28">
        <v>0</v>
      </c>
      <c r="CT28" s="17">
        <v>0</v>
      </c>
    </row>
    <row r="29" spans="1:98">
      <c r="A29">
        <f t="shared" si="32"/>
        <v>22</v>
      </c>
      <c r="B29">
        <v>2464</v>
      </c>
      <c r="C29" t="s">
        <v>130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13851</v>
      </c>
      <c r="L29">
        <v>16108</v>
      </c>
      <c r="M29">
        <v>20693</v>
      </c>
      <c r="N29">
        <v>19730</v>
      </c>
      <c r="O29">
        <v>12733</v>
      </c>
      <c r="P29">
        <f t="shared" si="6"/>
        <v>0</v>
      </c>
      <c r="Q29">
        <f t="shared" si="7"/>
        <v>0</v>
      </c>
      <c r="R29">
        <f t="shared" si="8"/>
        <v>29959</v>
      </c>
      <c r="S29">
        <f t="shared" si="9"/>
        <v>53156</v>
      </c>
      <c r="T29" s="17">
        <f t="shared" si="10"/>
        <v>83115</v>
      </c>
      <c r="U29">
        <v>3</v>
      </c>
      <c r="V29">
        <f t="shared" si="11"/>
        <v>2</v>
      </c>
      <c r="W29">
        <f t="shared" si="12"/>
        <v>0</v>
      </c>
      <c r="X29">
        <f t="shared" si="13"/>
        <v>0</v>
      </c>
      <c r="Y29">
        <f t="shared" si="14"/>
        <v>9986.3333333333339</v>
      </c>
      <c r="Z29">
        <f t="shared" si="15"/>
        <v>17718.666666666668</v>
      </c>
      <c r="AA29">
        <f t="shared" si="16"/>
        <v>6926.25</v>
      </c>
      <c r="AB29">
        <f t="shared" si="17"/>
        <v>-6926.25</v>
      </c>
      <c r="AC29">
        <f t="shared" si="18"/>
        <v>-6926.25</v>
      </c>
      <c r="AD29">
        <f t="shared" si="19"/>
        <v>3060.0833333333339</v>
      </c>
      <c r="AE29">
        <f t="shared" si="20"/>
        <v>10792.416666666668</v>
      </c>
      <c r="AF29">
        <f t="shared" si="21"/>
        <v>0</v>
      </c>
      <c r="AG29">
        <f t="shared" si="22"/>
        <v>0</v>
      </c>
      <c r="AH29">
        <f t="shared" si="23"/>
        <v>8721.7344796395482</v>
      </c>
      <c r="AI29">
        <f t="shared" si="24"/>
        <v>4344.4788333393126</v>
      </c>
      <c r="AJ29">
        <f t="shared" si="25"/>
        <v>0</v>
      </c>
      <c r="AK29">
        <f t="shared" si="26"/>
        <v>0</v>
      </c>
      <c r="AL29">
        <f t="shared" si="27"/>
        <v>0.49618700983095299</v>
      </c>
      <c r="AM29">
        <f t="shared" si="28"/>
        <v>3.5131445234939593</v>
      </c>
      <c r="AN29">
        <f t="shared" si="29"/>
        <v>0.5</v>
      </c>
      <c r="AO29">
        <f t="shared" si="0"/>
        <v>0.5</v>
      </c>
      <c r="AP29">
        <f t="shared" si="1"/>
        <v>0.33446454252207491</v>
      </c>
      <c r="AQ29">
        <f t="shared" si="2"/>
        <v>3.6170497759199789E-2</v>
      </c>
      <c r="AR29" s="17">
        <f t="shared" si="30"/>
        <v>0</v>
      </c>
      <c r="AS29" s="17">
        <f t="shared" si="3"/>
        <v>0</v>
      </c>
      <c r="AT29" s="17">
        <f t="shared" si="4"/>
        <v>0</v>
      </c>
      <c r="AU29" s="17">
        <f t="shared" si="5"/>
        <v>1</v>
      </c>
      <c r="AV29" s="17">
        <f t="shared" si="31"/>
        <v>0</v>
      </c>
      <c r="AY29">
        <v>2464</v>
      </c>
      <c r="AZ29" t="s">
        <v>129</v>
      </c>
      <c r="BA29">
        <v>83115</v>
      </c>
      <c r="BB29" s="17">
        <v>0</v>
      </c>
      <c r="BC29">
        <v>0</v>
      </c>
      <c r="BD29">
        <v>0</v>
      </c>
      <c r="BE29">
        <v>1</v>
      </c>
      <c r="BF29">
        <v>0</v>
      </c>
      <c r="BI29">
        <v>2464</v>
      </c>
      <c r="BJ29" t="s">
        <v>129</v>
      </c>
      <c r="BK29">
        <v>83115</v>
      </c>
      <c r="BL29">
        <v>0</v>
      </c>
      <c r="BM29" s="17">
        <v>0</v>
      </c>
      <c r="BN29">
        <v>0</v>
      </c>
      <c r="BO29">
        <v>1</v>
      </c>
      <c r="BP29">
        <v>0</v>
      </c>
      <c r="BS29">
        <v>2464</v>
      </c>
      <c r="BT29" t="s">
        <v>129</v>
      </c>
      <c r="BU29">
        <v>83115</v>
      </c>
      <c r="BV29">
        <v>0</v>
      </c>
      <c r="BW29">
        <v>0</v>
      </c>
      <c r="BX29" s="17">
        <v>0</v>
      </c>
      <c r="BY29">
        <v>1</v>
      </c>
      <c r="BZ29">
        <v>0</v>
      </c>
      <c r="CC29">
        <v>5918</v>
      </c>
      <c r="CD29" t="s">
        <v>115</v>
      </c>
      <c r="CE29">
        <v>77447</v>
      </c>
      <c r="CF29">
        <v>0</v>
      </c>
      <c r="CG29">
        <v>0</v>
      </c>
      <c r="CH29">
        <v>1</v>
      </c>
      <c r="CI29" s="17">
        <v>0</v>
      </c>
      <c r="CJ29">
        <v>0</v>
      </c>
      <c r="CM29">
        <v>5918</v>
      </c>
      <c r="CN29" t="s">
        <v>115</v>
      </c>
      <c r="CO29">
        <v>77447</v>
      </c>
      <c r="CP29">
        <v>0</v>
      </c>
      <c r="CQ29">
        <v>0</v>
      </c>
      <c r="CR29">
        <v>1</v>
      </c>
      <c r="CS29">
        <v>0</v>
      </c>
      <c r="CT29" s="17">
        <v>0</v>
      </c>
    </row>
    <row r="30" spans="1:98">
      <c r="A30">
        <f t="shared" si="32"/>
        <v>23</v>
      </c>
      <c r="B30">
        <v>5141</v>
      </c>
      <c r="C30" t="s">
        <v>114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10536</v>
      </c>
      <c r="L30">
        <v>18110</v>
      </c>
      <c r="M30">
        <v>24265</v>
      </c>
      <c r="N30">
        <v>19895</v>
      </c>
      <c r="O30">
        <v>13065</v>
      </c>
      <c r="P30">
        <f t="shared" si="6"/>
        <v>0</v>
      </c>
      <c r="Q30">
        <f t="shared" si="7"/>
        <v>0</v>
      </c>
      <c r="R30">
        <f t="shared" si="8"/>
        <v>28646</v>
      </c>
      <c r="S30">
        <f t="shared" si="9"/>
        <v>57225</v>
      </c>
      <c r="T30" s="17">
        <f t="shared" si="10"/>
        <v>85871</v>
      </c>
      <c r="U30">
        <v>3</v>
      </c>
      <c r="V30">
        <f t="shared" si="11"/>
        <v>2</v>
      </c>
      <c r="W30">
        <f t="shared" si="12"/>
        <v>0</v>
      </c>
      <c r="X30">
        <f t="shared" si="13"/>
        <v>0</v>
      </c>
      <c r="Y30">
        <f t="shared" si="14"/>
        <v>9548.6666666666661</v>
      </c>
      <c r="Z30">
        <f t="shared" si="15"/>
        <v>19075</v>
      </c>
      <c r="AA30">
        <f t="shared" si="16"/>
        <v>7155.916666666667</v>
      </c>
      <c r="AB30">
        <f t="shared" si="17"/>
        <v>-7155.916666666667</v>
      </c>
      <c r="AC30">
        <f t="shared" si="18"/>
        <v>-7155.916666666667</v>
      </c>
      <c r="AD30">
        <f t="shared" si="19"/>
        <v>2392.7499999999991</v>
      </c>
      <c r="AE30">
        <f t="shared" si="20"/>
        <v>11919.083333333332</v>
      </c>
      <c r="AF30">
        <f t="shared" si="21"/>
        <v>0</v>
      </c>
      <c r="AG30">
        <f t="shared" si="22"/>
        <v>0</v>
      </c>
      <c r="AH30">
        <f t="shared" si="23"/>
        <v>9095.2814873061161</v>
      </c>
      <c r="AI30">
        <f t="shared" si="24"/>
        <v>5644.8472078524856</v>
      </c>
      <c r="AJ30">
        <f t="shared" si="25"/>
        <v>0</v>
      </c>
      <c r="AK30">
        <f t="shared" si="26"/>
        <v>0</v>
      </c>
      <c r="AL30">
        <f t="shared" si="27"/>
        <v>0.37204560475571052</v>
      </c>
      <c r="AM30">
        <f t="shared" si="28"/>
        <v>2.9861090442991509</v>
      </c>
      <c r="AN30">
        <f t="shared" si="29"/>
        <v>0.5</v>
      </c>
      <c r="AO30">
        <f t="shared" si="0"/>
        <v>0.5</v>
      </c>
      <c r="AP30">
        <f t="shared" si="1"/>
        <v>0.37279039948838238</v>
      </c>
      <c r="AQ30">
        <f t="shared" si="2"/>
        <v>4.811590997621084E-2</v>
      </c>
      <c r="AR30" s="17">
        <f t="shared" si="30"/>
        <v>0</v>
      </c>
      <c r="AS30" s="17">
        <f t="shared" si="3"/>
        <v>0</v>
      </c>
      <c r="AT30" s="17">
        <f t="shared" si="4"/>
        <v>0</v>
      </c>
      <c r="AU30" s="17">
        <f t="shared" si="5"/>
        <v>1</v>
      </c>
      <c r="AV30" s="17">
        <f t="shared" si="31"/>
        <v>0</v>
      </c>
      <c r="AY30">
        <v>5141</v>
      </c>
      <c r="AZ30" t="s">
        <v>113</v>
      </c>
      <c r="BA30">
        <v>85871</v>
      </c>
      <c r="BB30" s="17">
        <v>0</v>
      </c>
      <c r="BC30">
        <v>0</v>
      </c>
      <c r="BD30">
        <v>0</v>
      </c>
      <c r="BE30">
        <v>1</v>
      </c>
      <c r="BF30">
        <v>0</v>
      </c>
      <c r="BI30">
        <v>5141</v>
      </c>
      <c r="BJ30" t="s">
        <v>113</v>
      </c>
      <c r="BK30">
        <v>85871</v>
      </c>
      <c r="BL30">
        <v>0</v>
      </c>
      <c r="BM30" s="17">
        <v>0</v>
      </c>
      <c r="BN30">
        <v>0</v>
      </c>
      <c r="BO30">
        <v>1</v>
      </c>
      <c r="BP30">
        <v>0</v>
      </c>
      <c r="BS30">
        <v>5141</v>
      </c>
      <c r="BT30" t="s">
        <v>113</v>
      </c>
      <c r="BU30">
        <v>85871</v>
      </c>
      <c r="BV30">
        <v>0</v>
      </c>
      <c r="BW30">
        <v>0</v>
      </c>
      <c r="BX30" s="17">
        <v>0</v>
      </c>
      <c r="BY30">
        <v>1</v>
      </c>
      <c r="BZ30">
        <v>0</v>
      </c>
      <c r="CC30">
        <v>806</v>
      </c>
      <c r="CD30" t="s">
        <v>109</v>
      </c>
      <c r="CE30">
        <v>88264</v>
      </c>
      <c r="CF30">
        <v>0</v>
      </c>
      <c r="CG30">
        <v>0</v>
      </c>
      <c r="CH30">
        <v>1</v>
      </c>
      <c r="CI30" s="17">
        <v>0</v>
      </c>
      <c r="CJ30">
        <v>0</v>
      </c>
      <c r="CM30">
        <v>806</v>
      </c>
      <c r="CN30" t="s">
        <v>109</v>
      </c>
      <c r="CO30">
        <v>88264</v>
      </c>
      <c r="CP30">
        <v>0</v>
      </c>
      <c r="CQ30">
        <v>0</v>
      </c>
      <c r="CR30">
        <v>1</v>
      </c>
      <c r="CS30">
        <v>0</v>
      </c>
      <c r="CT30" s="17">
        <v>0</v>
      </c>
    </row>
    <row r="31" spans="1:98">
      <c r="A31">
        <f t="shared" si="32"/>
        <v>24</v>
      </c>
      <c r="B31">
        <v>9574</v>
      </c>
      <c r="C31" t="s">
        <v>127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13234</v>
      </c>
      <c r="L31">
        <v>15236</v>
      </c>
      <c r="M31">
        <v>20227</v>
      </c>
      <c r="N31">
        <v>18957</v>
      </c>
      <c r="O31">
        <v>13578</v>
      </c>
      <c r="P31">
        <f t="shared" si="6"/>
        <v>0</v>
      </c>
      <c r="Q31">
        <f t="shared" si="7"/>
        <v>0</v>
      </c>
      <c r="R31">
        <f t="shared" si="8"/>
        <v>28470</v>
      </c>
      <c r="S31">
        <f t="shared" si="9"/>
        <v>52762</v>
      </c>
      <c r="T31" s="17">
        <f t="shared" si="10"/>
        <v>81232</v>
      </c>
      <c r="U31">
        <v>3</v>
      </c>
      <c r="V31">
        <f t="shared" si="11"/>
        <v>2</v>
      </c>
      <c r="W31">
        <f t="shared" si="12"/>
        <v>0</v>
      </c>
      <c r="X31">
        <f t="shared" si="13"/>
        <v>0</v>
      </c>
      <c r="Y31">
        <f t="shared" si="14"/>
        <v>9490</v>
      </c>
      <c r="Z31">
        <f t="shared" si="15"/>
        <v>17587.333333333332</v>
      </c>
      <c r="AA31">
        <f t="shared" si="16"/>
        <v>6769.333333333333</v>
      </c>
      <c r="AB31">
        <f t="shared" si="17"/>
        <v>-6769.333333333333</v>
      </c>
      <c r="AC31">
        <f t="shared" si="18"/>
        <v>-6769.333333333333</v>
      </c>
      <c r="AD31">
        <f t="shared" si="19"/>
        <v>2720.666666666667</v>
      </c>
      <c r="AE31">
        <f t="shared" si="20"/>
        <v>10818</v>
      </c>
      <c r="AF31">
        <f t="shared" si="21"/>
        <v>0</v>
      </c>
      <c r="AG31">
        <f t="shared" si="22"/>
        <v>0</v>
      </c>
      <c r="AH31">
        <f t="shared" si="23"/>
        <v>8279.3161553355367</v>
      </c>
      <c r="AI31">
        <f t="shared" si="24"/>
        <v>3529.7719945250451</v>
      </c>
      <c r="AJ31">
        <f t="shared" si="25"/>
        <v>0</v>
      </c>
      <c r="AK31">
        <f t="shared" si="26"/>
        <v>0</v>
      </c>
      <c r="AL31">
        <f t="shared" si="27"/>
        <v>0.46472481863334147</v>
      </c>
      <c r="AM31">
        <f t="shared" si="28"/>
        <v>4.3342636129138201</v>
      </c>
      <c r="AN31">
        <f t="shared" si="29"/>
        <v>0.5</v>
      </c>
      <c r="AO31">
        <f t="shared" si="0"/>
        <v>0.5</v>
      </c>
      <c r="AP31">
        <f t="shared" si="1"/>
        <v>0.34390678878005954</v>
      </c>
      <c r="AQ31">
        <f t="shared" si="2"/>
        <v>2.4663104835722763E-2</v>
      </c>
      <c r="AR31" s="17">
        <f t="shared" si="30"/>
        <v>0</v>
      </c>
      <c r="AS31" s="17">
        <f t="shared" si="3"/>
        <v>0</v>
      </c>
      <c r="AT31" s="17">
        <f t="shared" si="4"/>
        <v>0</v>
      </c>
      <c r="AU31" s="17">
        <f t="shared" si="5"/>
        <v>1</v>
      </c>
      <c r="AV31" s="17">
        <f t="shared" si="31"/>
        <v>0</v>
      </c>
      <c r="AY31">
        <v>9574</v>
      </c>
      <c r="AZ31" t="s">
        <v>126</v>
      </c>
      <c r="BA31">
        <v>81232</v>
      </c>
      <c r="BB31" s="17">
        <v>0</v>
      </c>
      <c r="BC31">
        <v>0</v>
      </c>
      <c r="BD31">
        <v>0</v>
      </c>
      <c r="BE31">
        <v>1</v>
      </c>
      <c r="BF31">
        <v>0</v>
      </c>
      <c r="BI31">
        <v>9574</v>
      </c>
      <c r="BJ31" t="s">
        <v>126</v>
      </c>
      <c r="BK31">
        <v>81232</v>
      </c>
      <c r="BL31">
        <v>0</v>
      </c>
      <c r="BM31" s="17">
        <v>0</v>
      </c>
      <c r="BN31">
        <v>0</v>
      </c>
      <c r="BO31">
        <v>1</v>
      </c>
      <c r="BP31">
        <v>0</v>
      </c>
      <c r="BS31">
        <v>9574</v>
      </c>
      <c r="BT31" t="s">
        <v>126</v>
      </c>
      <c r="BU31">
        <v>81232</v>
      </c>
      <c r="BV31">
        <v>0</v>
      </c>
      <c r="BW31">
        <v>0</v>
      </c>
      <c r="BX31" s="17">
        <v>0</v>
      </c>
      <c r="BY31">
        <v>1</v>
      </c>
      <c r="BZ31">
        <v>0</v>
      </c>
      <c r="CC31">
        <v>717</v>
      </c>
      <c r="CD31" t="s">
        <v>116</v>
      </c>
      <c r="CE31">
        <v>78036</v>
      </c>
      <c r="CF31">
        <v>0</v>
      </c>
      <c r="CG31">
        <v>0</v>
      </c>
      <c r="CH31">
        <v>1</v>
      </c>
      <c r="CI31" s="17">
        <v>0</v>
      </c>
      <c r="CJ31">
        <v>0</v>
      </c>
      <c r="CM31">
        <v>717</v>
      </c>
      <c r="CN31" t="s">
        <v>116</v>
      </c>
      <c r="CO31">
        <v>78036</v>
      </c>
      <c r="CP31">
        <v>0</v>
      </c>
      <c r="CQ31">
        <v>0</v>
      </c>
      <c r="CR31">
        <v>1</v>
      </c>
      <c r="CS31">
        <v>0</v>
      </c>
      <c r="CT31" s="17">
        <v>0</v>
      </c>
    </row>
    <row r="32" spans="1:98">
      <c r="A32">
        <f t="shared" si="32"/>
        <v>25</v>
      </c>
      <c r="B32">
        <v>7290</v>
      </c>
      <c r="C32" t="s">
        <v>141</v>
      </c>
      <c r="D32">
        <v>14419</v>
      </c>
      <c r="E32">
        <v>12853</v>
      </c>
      <c r="F32">
        <v>10511</v>
      </c>
      <c r="G32">
        <v>13664</v>
      </c>
      <c r="H32">
        <v>14993</v>
      </c>
      <c r="I32">
        <v>13167</v>
      </c>
      <c r="J32">
        <v>10477</v>
      </c>
      <c r="K32">
        <v>11304</v>
      </c>
      <c r="L32">
        <v>14844</v>
      </c>
      <c r="M32">
        <v>11215</v>
      </c>
      <c r="N32">
        <v>14853</v>
      </c>
      <c r="O32">
        <v>12670</v>
      </c>
      <c r="P32">
        <f t="shared" si="6"/>
        <v>37783</v>
      </c>
      <c r="Q32">
        <f t="shared" si="7"/>
        <v>41824</v>
      </c>
      <c r="R32">
        <f t="shared" si="8"/>
        <v>36625</v>
      </c>
      <c r="S32">
        <f t="shared" si="9"/>
        <v>38738</v>
      </c>
      <c r="T32" s="17">
        <f t="shared" si="10"/>
        <v>154970</v>
      </c>
      <c r="U32">
        <v>3</v>
      </c>
      <c r="V32">
        <f t="shared" si="11"/>
        <v>2</v>
      </c>
      <c r="W32">
        <f t="shared" si="12"/>
        <v>12594.333333333334</v>
      </c>
      <c r="X32">
        <f t="shared" si="13"/>
        <v>13941.333333333334</v>
      </c>
      <c r="Y32">
        <f t="shared" si="14"/>
        <v>12208.333333333334</v>
      </c>
      <c r="Z32">
        <f t="shared" si="15"/>
        <v>12912.666666666666</v>
      </c>
      <c r="AA32">
        <f t="shared" si="16"/>
        <v>12914.166666666666</v>
      </c>
      <c r="AB32">
        <f t="shared" si="17"/>
        <v>-319.83333333333212</v>
      </c>
      <c r="AC32">
        <f t="shared" si="18"/>
        <v>1027.1666666666679</v>
      </c>
      <c r="AD32">
        <f t="shared" si="19"/>
        <v>-705.83333333333212</v>
      </c>
      <c r="AE32">
        <f t="shared" si="20"/>
        <v>-1.5</v>
      </c>
      <c r="AF32">
        <f t="shared" si="21"/>
        <v>1966.7987526265474</v>
      </c>
      <c r="AG32">
        <f t="shared" si="22"/>
        <v>944.06267447310586</v>
      </c>
      <c r="AH32">
        <f t="shared" si="23"/>
        <v>2319.7060877045055</v>
      </c>
      <c r="AI32">
        <f t="shared" si="24"/>
        <v>1831.0997606174665</v>
      </c>
      <c r="AJ32">
        <f t="shared" si="25"/>
        <v>-0.22997403119915322</v>
      </c>
      <c r="AK32">
        <f t="shared" si="26"/>
        <v>1.5387040183834195</v>
      </c>
      <c r="AL32">
        <f t="shared" si="27"/>
        <v>-0.43031273576679208</v>
      </c>
      <c r="AM32">
        <f t="shared" si="28"/>
        <v>-1.1584952328562977E-3</v>
      </c>
      <c r="AN32">
        <f t="shared" si="29"/>
        <v>0.41974609593997758</v>
      </c>
      <c r="AO32">
        <f t="shared" si="0"/>
        <v>0.13186834463417405</v>
      </c>
      <c r="AP32">
        <f t="shared" si="1"/>
        <v>0.35445017628086395</v>
      </c>
      <c r="AQ32">
        <f t="shared" si="2"/>
        <v>0.49959041021992345</v>
      </c>
      <c r="AR32" s="17">
        <f t="shared" si="30"/>
        <v>0</v>
      </c>
      <c r="AS32" s="17">
        <f t="shared" si="3"/>
        <v>0</v>
      </c>
      <c r="AT32" s="17">
        <f t="shared" si="4"/>
        <v>0</v>
      </c>
      <c r="AU32" s="17">
        <f t="shared" si="5"/>
        <v>0</v>
      </c>
      <c r="AV32" s="17">
        <f t="shared" si="31"/>
        <v>1</v>
      </c>
      <c r="AY32">
        <v>7290</v>
      </c>
      <c r="AZ32" t="s">
        <v>141</v>
      </c>
      <c r="BA32">
        <v>154970</v>
      </c>
      <c r="BB32" s="17">
        <v>0</v>
      </c>
      <c r="BC32">
        <v>0</v>
      </c>
      <c r="BD32">
        <v>0</v>
      </c>
      <c r="BE32">
        <v>0</v>
      </c>
      <c r="BF32">
        <v>1</v>
      </c>
      <c r="BI32">
        <v>7290</v>
      </c>
      <c r="BJ32" t="s">
        <v>141</v>
      </c>
      <c r="BK32">
        <v>154970</v>
      </c>
      <c r="BL32">
        <v>0</v>
      </c>
      <c r="BM32" s="17">
        <v>0</v>
      </c>
      <c r="BN32">
        <v>0</v>
      </c>
      <c r="BO32">
        <v>0</v>
      </c>
      <c r="BP32">
        <v>1</v>
      </c>
      <c r="BS32">
        <v>7290</v>
      </c>
      <c r="BT32" t="s">
        <v>141</v>
      </c>
      <c r="BU32">
        <v>154970</v>
      </c>
      <c r="BV32">
        <v>0</v>
      </c>
      <c r="BW32">
        <v>0</v>
      </c>
      <c r="BX32" s="17">
        <v>0</v>
      </c>
      <c r="BY32">
        <v>0</v>
      </c>
      <c r="BZ32">
        <v>1</v>
      </c>
      <c r="CC32">
        <v>7290</v>
      </c>
      <c r="CD32" t="s">
        <v>141</v>
      </c>
      <c r="CE32">
        <v>154970</v>
      </c>
      <c r="CF32">
        <v>0</v>
      </c>
      <c r="CG32">
        <v>0</v>
      </c>
      <c r="CH32">
        <v>0</v>
      </c>
      <c r="CI32" s="17">
        <v>0</v>
      </c>
      <c r="CJ32">
        <v>1</v>
      </c>
      <c r="CM32">
        <v>3678</v>
      </c>
      <c r="CN32" t="s">
        <v>120</v>
      </c>
      <c r="CO32">
        <v>79665</v>
      </c>
      <c r="CP32">
        <v>0</v>
      </c>
      <c r="CQ32">
        <v>0</v>
      </c>
      <c r="CR32">
        <v>0</v>
      </c>
      <c r="CS32">
        <v>1</v>
      </c>
      <c r="CT32" s="17">
        <v>0</v>
      </c>
    </row>
    <row r="33" spans="1:98">
      <c r="A33">
        <f t="shared" si="32"/>
        <v>26</v>
      </c>
      <c r="B33">
        <v>5365</v>
      </c>
      <c r="C33" t="s">
        <v>155</v>
      </c>
      <c r="D33">
        <v>11793</v>
      </c>
      <c r="E33">
        <v>14904</v>
      </c>
      <c r="F33">
        <v>10029</v>
      </c>
      <c r="G33">
        <v>11320</v>
      </c>
      <c r="H33">
        <v>12630</v>
      </c>
      <c r="I33">
        <v>14502</v>
      </c>
      <c r="J33">
        <v>13100</v>
      </c>
      <c r="K33">
        <v>14806</v>
      </c>
      <c r="L33">
        <v>10897</v>
      </c>
      <c r="M33">
        <v>13878</v>
      </c>
      <c r="N33">
        <v>13069</v>
      </c>
      <c r="O33">
        <v>10815</v>
      </c>
      <c r="P33">
        <f t="shared" si="6"/>
        <v>36726</v>
      </c>
      <c r="Q33">
        <f t="shared" si="7"/>
        <v>38452</v>
      </c>
      <c r="R33">
        <f t="shared" si="8"/>
        <v>38803</v>
      </c>
      <c r="S33">
        <f t="shared" si="9"/>
        <v>37762</v>
      </c>
      <c r="T33" s="17">
        <f t="shared" si="10"/>
        <v>151743</v>
      </c>
      <c r="U33">
        <v>3</v>
      </c>
      <c r="V33">
        <f t="shared" si="11"/>
        <v>2</v>
      </c>
      <c r="W33">
        <f t="shared" si="12"/>
        <v>12242</v>
      </c>
      <c r="X33">
        <f t="shared" si="13"/>
        <v>12817.333333333334</v>
      </c>
      <c r="Y33">
        <f t="shared" si="14"/>
        <v>12934.333333333334</v>
      </c>
      <c r="Z33">
        <f t="shared" si="15"/>
        <v>12587.333333333334</v>
      </c>
      <c r="AA33">
        <f t="shared" si="16"/>
        <v>12645.25</v>
      </c>
      <c r="AB33">
        <f t="shared" si="17"/>
        <v>-403.25</v>
      </c>
      <c r="AC33">
        <f t="shared" si="18"/>
        <v>172.08333333333394</v>
      </c>
      <c r="AD33">
        <f t="shared" si="19"/>
        <v>289.08333333333394</v>
      </c>
      <c r="AE33">
        <f t="shared" si="20"/>
        <v>-57.91666666666606</v>
      </c>
      <c r="AF33">
        <f t="shared" si="21"/>
        <v>2468.3206841899614</v>
      </c>
      <c r="AG33">
        <f t="shared" si="22"/>
        <v>1599.2502409983697</v>
      </c>
      <c r="AH33">
        <f t="shared" si="23"/>
        <v>1959.7587436552856</v>
      </c>
      <c r="AI33">
        <f t="shared" si="24"/>
        <v>1587.2915086187991</v>
      </c>
      <c r="AJ33">
        <f t="shared" si="25"/>
        <v>-0.23104032740952465</v>
      </c>
      <c r="AK33">
        <f t="shared" si="26"/>
        <v>0.15217292304826927</v>
      </c>
      <c r="AL33">
        <f t="shared" si="27"/>
        <v>0.20861015264230606</v>
      </c>
      <c r="AM33">
        <f t="shared" si="28"/>
        <v>-5.1601445004083007E-2</v>
      </c>
      <c r="AN33">
        <f t="shared" si="29"/>
        <v>0.41938364265789596</v>
      </c>
      <c r="AO33">
        <f t="shared" si="0"/>
        <v>0.44650753177895536</v>
      </c>
      <c r="AP33">
        <f t="shared" si="1"/>
        <v>0.427034730547389</v>
      </c>
      <c r="AQ33">
        <f t="shared" si="2"/>
        <v>0.48176826657485256</v>
      </c>
      <c r="AR33" s="17">
        <f t="shared" si="30"/>
        <v>0</v>
      </c>
      <c r="AS33" s="17">
        <f t="shared" si="3"/>
        <v>0</v>
      </c>
      <c r="AT33" s="17">
        <f t="shared" si="4"/>
        <v>0</v>
      </c>
      <c r="AU33" s="17">
        <f t="shared" si="5"/>
        <v>0</v>
      </c>
      <c r="AV33" s="17">
        <f t="shared" si="31"/>
        <v>1</v>
      </c>
      <c r="AY33">
        <v>5365</v>
      </c>
      <c r="AZ33" t="s">
        <v>154</v>
      </c>
      <c r="BA33">
        <v>151743</v>
      </c>
      <c r="BB33" s="17">
        <v>0</v>
      </c>
      <c r="BC33">
        <v>0</v>
      </c>
      <c r="BD33">
        <v>0</v>
      </c>
      <c r="BE33">
        <v>0</v>
      </c>
      <c r="BF33">
        <v>1</v>
      </c>
      <c r="BI33">
        <v>5365</v>
      </c>
      <c r="BJ33" t="s">
        <v>154</v>
      </c>
      <c r="BK33">
        <v>151743</v>
      </c>
      <c r="BL33">
        <v>0</v>
      </c>
      <c r="BM33" s="17">
        <v>0</v>
      </c>
      <c r="BN33">
        <v>0</v>
      </c>
      <c r="BO33">
        <v>0</v>
      </c>
      <c r="BP33">
        <v>1</v>
      </c>
      <c r="BS33">
        <v>5365</v>
      </c>
      <c r="BT33" t="s">
        <v>154</v>
      </c>
      <c r="BU33">
        <v>151743</v>
      </c>
      <c r="BV33">
        <v>0</v>
      </c>
      <c r="BW33">
        <v>0</v>
      </c>
      <c r="BX33" s="17">
        <v>0</v>
      </c>
      <c r="BY33">
        <v>0</v>
      </c>
      <c r="BZ33">
        <v>1</v>
      </c>
      <c r="CC33">
        <v>5365</v>
      </c>
      <c r="CD33" t="s">
        <v>154</v>
      </c>
      <c r="CE33">
        <v>151743</v>
      </c>
      <c r="CF33">
        <v>0</v>
      </c>
      <c r="CG33">
        <v>0</v>
      </c>
      <c r="CH33">
        <v>0</v>
      </c>
      <c r="CI33" s="17">
        <v>0</v>
      </c>
      <c r="CJ33">
        <v>1</v>
      </c>
      <c r="CM33">
        <v>1125</v>
      </c>
      <c r="CN33" t="s">
        <v>136</v>
      </c>
      <c r="CO33">
        <v>87431</v>
      </c>
      <c r="CP33">
        <v>0</v>
      </c>
      <c r="CQ33">
        <v>0</v>
      </c>
      <c r="CR33">
        <v>0</v>
      </c>
      <c r="CS33">
        <v>1</v>
      </c>
      <c r="CT33" s="17">
        <v>0</v>
      </c>
    </row>
    <row r="34" spans="1:98">
      <c r="A34">
        <f t="shared" si="32"/>
        <v>27</v>
      </c>
      <c r="B34">
        <v>6588</v>
      </c>
      <c r="C34" t="s">
        <v>151</v>
      </c>
      <c r="D34">
        <v>13393</v>
      </c>
      <c r="E34">
        <v>10414</v>
      </c>
      <c r="F34">
        <v>11826</v>
      </c>
      <c r="G34">
        <v>12406</v>
      </c>
      <c r="H34">
        <v>10871</v>
      </c>
      <c r="I34">
        <v>11315</v>
      </c>
      <c r="J34">
        <v>10985</v>
      </c>
      <c r="K34">
        <v>13752</v>
      </c>
      <c r="L34">
        <v>11319</v>
      </c>
      <c r="M34">
        <v>12703</v>
      </c>
      <c r="N34">
        <v>11342</v>
      </c>
      <c r="O34">
        <v>10117</v>
      </c>
      <c r="P34">
        <f t="shared" si="6"/>
        <v>35633</v>
      </c>
      <c r="Q34">
        <f t="shared" si="7"/>
        <v>34592</v>
      </c>
      <c r="R34">
        <f t="shared" si="8"/>
        <v>36056</v>
      </c>
      <c r="S34">
        <f t="shared" si="9"/>
        <v>34162</v>
      </c>
      <c r="T34" s="17">
        <f t="shared" si="10"/>
        <v>140443</v>
      </c>
      <c r="U34">
        <v>3</v>
      </c>
      <c r="V34">
        <f>U34-1</f>
        <v>2</v>
      </c>
      <c r="W34">
        <f t="shared" si="12"/>
        <v>11877.666666666666</v>
      </c>
      <c r="X34">
        <f t="shared" si="13"/>
        <v>11530.666666666666</v>
      </c>
      <c r="Y34">
        <f t="shared" si="14"/>
        <v>12018.666666666666</v>
      </c>
      <c r="Z34">
        <f t="shared" si="15"/>
        <v>11387.333333333334</v>
      </c>
      <c r="AA34">
        <f t="shared" si="16"/>
        <v>11703.583333333334</v>
      </c>
      <c r="AB34">
        <f t="shared" si="17"/>
        <v>174.08333333333212</v>
      </c>
      <c r="AC34">
        <f t="shared" si="18"/>
        <v>-172.91666666666788</v>
      </c>
      <c r="AD34">
        <f t="shared" si="19"/>
        <v>315.08333333333212</v>
      </c>
      <c r="AE34">
        <f t="shared" si="20"/>
        <v>-316.25</v>
      </c>
      <c r="AF34">
        <f t="shared" si="21"/>
        <v>1490.1719140197695</v>
      </c>
      <c r="AG34">
        <f t="shared" si="22"/>
        <v>789.89893868351487</v>
      </c>
      <c r="AH34">
        <f t="shared" si="23"/>
        <v>1510.3715878330549</v>
      </c>
      <c r="AI34">
        <f t="shared" si="24"/>
        <v>1293.5958925929469</v>
      </c>
      <c r="AJ34">
        <f t="shared" si="25"/>
        <v>0.16520980476608854</v>
      </c>
      <c r="AK34">
        <f t="shared" si="26"/>
        <v>-0.30958529399712048</v>
      </c>
      <c r="AL34">
        <f t="shared" si="27"/>
        <v>0.29502350737213001</v>
      </c>
      <c r="AM34">
        <f t="shared" si="28"/>
        <v>-0.34573783177682443</v>
      </c>
      <c r="AN34">
        <f t="shared" si="29"/>
        <v>0.44198404777094535</v>
      </c>
      <c r="AO34">
        <f t="shared" si="0"/>
        <v>0.39307704616821149</v>
      </c>
      <c r="AP34">
        <f t="shared" si="1"/>
        <v>0.3978916267413441</v>
      </c>
      <c r="AQ34">
        <f t="shared" si="2"/>
        <v>0.38126010838691882</v>
      </c>
      <c r="AR34" s="17">
        <f t="shared" si="30"/>
        <v>0</v>
      </c>
      <c r="AS34" s="17">
        <f t="shared" si="3"/>
        <v>0</v>
      </c>
      <c r="AT34" s="17">
        <f t="shared" si="4"/>
        <v>0</v>
      </c>
      <c r="AU34" s="17">
        <f t="shared" si="5"/>
        <v>0</v>
      </c>
      <c r="AV34" s="17">
        <f t="shared" si="31"/>
        <v>1</v>
      </c>
      <c r="AY34">
        <v>6588</v>
      </c>
      <c r="AZ34" t="s">
        <v>150</v>
      </c>
      <c r="BA34">
        <v>140443</v>
      </c>
      <c r="BB34" s="17">
        <v>0</v>
      </c>
      <c r="BC34">
        <v>0</v>
      </c>
      <c r="BD34">
        <v>0</v>
      </c>
      <c r="BE34">
        <v>0</v>
      </c>
      <c r="BF34">
        <v>1</v>
      </c>
      <c r="BI34">
        <v>6588</v>
      </c>
      <c r="BJ34" t="s">
        <v>150</v>
      </c>
      <c r="BK34">
        <v>140443</v>
      </c>
      <c r="BL34">
        <v>0</v>
      </c>
      <c r="BM34" s="17">
        <v>0</v>
      </c>
      <c r="BN34">
        <v>0</v>
      </c>
      <c r="BO34">
        <v>0</v>
      </c>
      <c r="BP34">
        <v>1</v>
      </c>
      <c r="BS34">
        <v>6588</v>
      </c>
      <c r="BT34" t="s">
        <v>150</v>
      </c>
      <c r="BU34">
        <v>140443</v>
      </c>
      <c r="BV34">
        <v>0</v>
      </c>
      <c r="BW34">
        <v>0</v>
      </c>
      <c r="BX34" s="17">
        <v>0</v>
      </c>
      <c r="BY34">
        <v>0</v>
      </c>
      <c r="BZ34">
        <v>1</v>
      </c>
      <c r="CC34">
        <v>6588</v>
      </c>
      <c r="CD34" t="s">
        <v>150</v>
      </c>
      <c r="CE34">
        <v>140443</v>
      </c>
      <c r="CF34">
        <v>0</v>
      </c>
      <c r="CG34">
        <v>0</v>
      </c>
      <c r="CH34">
        <v>0</v>
      </c>
      <c r="CI34" s="17">
        <v>0</v>
      </c>
      <c r="CJ34">
        <v>1</v>
      </c>
      <c r="CM34">
        <v>7252</v>
      </c>
      <c r="CN34" t="s">
        <v>138</v>
      </c>
      <c r="CO34">
        <v>84748</v>
      </c>
      <c r="CP34">
        <v>0</v>
      </c>
      <c r="CQ34">
        <v>0</v>
      </c>
      <c r="CR34">
        <v>0</v>
      </c>
      <c r="CS34">
        <v>1</v>
      </c>
      <c r="CT34" s="17">
        <v>0</v>
      </c>
    </row>
    <row r="35" spans="1:98">
      <c r="A35">
        <f t="shared" si="32"/>
        <v>28</v>
      </c>
      <c r="B35">
        <v>7472</v>
      </c>
      <c r="C35" t="s">
        <v>157</v>
      </c>
      <c r="D35">
        <v>13025</v>
      </c>
      <c r="E35">
        <v>13190</v>
      </c>
      <c r="F35">
        <v>13377</v>
      </c>
      <c r="G35">
        <v>14883</v>
      </c>
      <c r="H35">
        <v>13320</v>
      </c>
      <c r="I35">
        <v>12360</v>
      </c>
      <c r="J35">
        <v>13220</v>
      </c>
      <c r="K35">
        <v>13684</v>
      </c>
      <c r="L35">
        <v>12719</v>
      </c>
      <c r="M35">
        <v>13814</v>
      </c>
      <c r="N35">
        <v>10588</v>
      </c>
      <c r="O35">
        <v>12570</v>
      </c>
      <c r="P35">
        <f t="shared" si="6"/>
        <v>39592</v>
      </c>
      <c r="Q35">
        <f t="shared" si="7"/>
        <v>40563</v>
      </c>
      <c r="R35">
        <f t="shared" si="8"/>
        <v>39623</v>
      </c>
      <c r="S35">
        <f t="shared" si="9"/>
        <v>36972</v>
      </c>
      <c r="T35" s="17">
        <f t="shared" si="10"/>
        <v>156750</v>
      </c>
      <c r="U35">
        <v>3</v>
      </c>
      <c r="V35">
        <f t="shared" si="11"/>
        <v>2</v>
      </c>
      <c r="W35">
        <f t="shared" si="12"/>
        <v>13197.333333333334</v>
      </c>
      <c r="X35">
        <f t="shared" si="13"/>
        <v>13521</v>
      </c>
      <c r="Y35">
        <f t="shared" si="14"/>
        <v>13207.666666666666</v>
      </c>
      <c r="Z35">
        <f t="shared" si="15"/>
        <v>12324</v>
      </c>
      <c r="AA35">
        <f t="shared" si="16"/>
        <v>13062.5</v>
      </c>
      <c r="AB35">
        <f t="shared" si="17"/>
        <v>134.83333333333394</v>
      </c>
      <c r="AC35">
        <f t="shared" si="18"/>
        <v>458.5</v>
      </c>
      <c r="AD35">
        <f t="shared" si="19"/>
        <v>145.16666666666606</v>
      </c>
      <c r="AE35">
        <f t="shared" si="20"/>
        <v>-738.5</v>
      </c>
      <c r="AF35">
        <f t="shared" si="21"/>
        <v>176.114546058363</v>
      </c>
      <c r="AG35">
        <f t="shared" si="22"/>
        <v>1273.4531793513258</v>
      </c>
      <c r="AH35">
        <f t="shared" si="23"/>
        <v>482.61820659123839</v>
      </c>
      <c r="AI35">
        <f t="shared" si="24"/>
        <v>1627.0082974588668</v>
      </c>
      <c r="AJ35">
        <f t="shared" si="25"/>
        <v>1.0827221994302632</v>
      </c>
      <c r="AK35">
        <f t="shared" si="26"/>
        <v>0.50918002236906423</v>
      </c>
      <c r="AL35">
        <f t="shared" si="27"/>
        <v>0.42538111078427038</v>
      </c>
      <c r="AM35">
        <f t="shared" si="28"/>
        <v>-0.64191234761599891</v>
      </c>
      <c r="AN35">
        <f t="shared" si="29"/>
        <v>0.19605095358833724</v>
      </c>
      <c r="AO35">
        <f t="shared" si="0"/>
        <v>0.33062167231198586</v>
      </c>
      <c r="AP35">
        <f t="shared" si="1"/>
        <v>0.35597912625644923</v>
      </c>
      <c r="AQ35">
        <f t="shared" si="2"/>
        <v>0.29334189185868298</v>
      </c>
      <c r="AR35" s="17">
        <f t="shared" si="30"/>
        <v>0</v>
      </c>
      <c r="AS35" s="17">
        <f t="shared" si="3"/>
        <v>0</v>
      </c>
      <c r="AT35" s="17">
        <f t="shared" si="4"/>
        <v>0</v>
      </c>
      <c r="AU35" s="17">
        <f t="shared" si="5"/>
        <v>0</v>
      </c>
      <c r="AV35" s="17">
        <f t="shared" si="31"/>
        <v>1</v>
      </c>
      <c r="AY35">
        <v>7472</v>
      </c>
      <c r="AZ35" t="s">
        <v>156</v>
      </c>
      <c r="BA35">
        <v>156750</v>
      </c>
      <c r="BB35" s="17">
        <v>0</v>
      </c>
      <c r="BC35">
        <v>0</v>
      </c>
      <c r="BD35">
        <v>0</v>
      </c>
      <c r="BE35">
        <v>0</v>
      </c>
      <c r="BF35">
        <v>1</v>
      </c>
      <c r="BI35">
        <v>7472</v>
      </c>
      <c r="BJ35" t="s">
        <v>156</v>
      </c>
      <c r="BK35">
        <v>156750</v>
      </c>
      <c r="BL35">
        <v>0</v>
      </c>
      <c r="BM35" s="17">
        <v>0</v>
      </c>
      <c r="BN35">
        <v>0</v>
      </c>
      <c r="BO35">
        <v>0</v>
      </c>
      <c r="BP35">
        <v>1</v>
      </c>
      <c r="BS35">
        <v>7472</v>
      </c>
      <c r="BT35" t="s">
        <v>156</v>
      </c>
      <c r="BU35">
        <v>156750</v>
      </c>
      <c r="BV35">
        <v>0</v>
      </c>
      <c r="BW35">
        <v>0</v>
      </c>
      <c r="BX35" s="17">
        <v>0</v>
      </c>
      <c r="BY35">
        <v>0</v>
      </c>
      <c r="BZ35">
        <v>1</v>
      </c>
      <c r="CC35">
        <v>7472</v>
      </c>
      <c r="CD35" t="s">
        <v>156</v>
      </c>
      <c r="CE35">
        <v>156750</v>
      </c>
      <c r="CF35">
        <v>0</v>
      </c>
      <c r="CG35">
        <v>0</v>
      </c>
      <c r="CH35">
        <v>0</v>
      </c>
      <c r="CI35" s="17">
        <v>0</v>
      </c>
      <c r="CJ35">
        <v>1</v>
      </c>
      <c r="CM35">
        <v>2464</v>
      </c>
      <c r="CN35" t="s">
        <v>129</v>
      </c>
      <c r="CO35">
        <v>83115</v>
      </c>
      <c r="CP35">
        <v>0</v>
      </c>
      <c r="CQ35">
        <v>0</v>
      </c>
      <c r="CR35">
        <v>0</v>
      </c>
      <c r="CS35">
        <v>1</v>
      </c>
      <c r="CT35" s="17">
        <v>0</v>
      </c>
    </row>
    <row r="36" spans="1:98">
      <c r="A36">
        <f t="shared" si="32"/>
        <v>29</v>
      </c>
      <c r="B36">
        <v>894</v>
      </c>
      <c r="C36" t="s">
        <v>153</v>
      </c>
      <c r="D36">
        <v>10379</v>
      </c>
      <c r="E36">
        <v>14659</v>
      </c>
      <c r="F36">
        <v>13118</v>
      </c>
      <c r="G36">
        <v>11463</v>
      </c>
      <c r="H36">
        <v>13959</v>
      </c>
      <c r="I36">
        <v>11999</v>
      </c>
      <c r="J36">
        <v>14737</v>
      </c>
      <c r="K36">
        <v>11636</v>
      </c>
      <c r="L36">
        <v>10537</v>
      </c>
      <c r="M36">
        <v>14373</v>
      </c>
      <c r="N36">
        <v>11975</v>
      </c>
      <c r="O36">
        <v>12563</v>
      </c>
      <c r="P36">
        <f t="shared" si="6"/>
        <v>38156</v>
      </c>
      <c r="Q36">
        <f t="shared" si="7"/>
        <v>37421</v>
      </c>
      <c r="R36">
        <f t="shared" si="8"/>
        <v>36910</v>
      </c>
      <c r="S36">
        <f t="shared" si="9"/>
        <v>38911</v>
      </c>
      <c r="T36" s="17">
        <f t="shared" si="10"/>
        <v>151398</v>
      </c>
      <c r="U36">
        <v>3</v>
      </c>
      <c r="V36">
        <f t="shared" si="11"/>
        <v>2</v>
      </c>
      <c r="W36">
        <f t="shared" si="12"/>
        <v>12718.666666666666</v>
      </c>
      <c r="X36">
        <f t="shared" si="13"/>
        <v>12473.666666666666</v>
      </c>
      <c r="Y36">
        <f t="shared" si="14"/>
        <v>12303.333333333334</v>
      </c>
      <c r="Z36">
        <f t="shared" si="15"/>
        <v>12970.333333333334</v>
      </c>
      <c r="AA36">
        <f t="shared" si="16"/>
        <v>12616.5</v>
      </c>
      <c r="AB36">
        <f t="shared" si="17"/>
        <v>102.16666666666606</v>
      </c>
      <c r="AC36">
        <f t="shared" si="18"/>
        <v>-142.83333333333394</v>
      </c>
      <c r="AD36">
        <f t="shared" si="19"/>
        <v>-313.16666666666606</v>
      </c>
      <c r="AE36">
        <f t="shared" si="20"/>
        <v>353.83333333333394</v>
      </c>
      <c r="AF36">
        <f t="shared" si="21"/>
        <v>2167.7639016584217</v>
      </c>
      <c r="AG36">
        <f t="shared" si="22"/>
        <v>1313.957888721455</v>
      </c>
      <c r="AH36">
        <f t="shared" si="23"/>
        <v>2178.0726189301731</v>
      </c>
      <c r="AI36">
        <f t="shared" si="24"/>
        <v>1249.8165198673537</v>
      </c>
      <c r="AJ36">
        <f t="shared" si="25"/>
        <v>6.6651855172933497E-2</v>
      </c>
      <c r="AK36">
        <f t="shared" si="26"/>
        <v>-0.15373159131873754</v>
      </c>
      <c r="AL36">
        <f t="shared" si="27"/>
        <v>-0.20333782420014523</v>
      </c>
      <c r="AM36">
        <f t="shared" si="28"/>
        <v>0.40037548781383475</v>
      </c>
      <c r="AN36">
        <f t="shared" si="29"/>
        <v>0.47646113878520624</v>
      </c>
      <c r="AO36">
        <f t="shared" si="0"/>
        <v>0.44596598893681372</v>
      </c>
      <c r="AP36">
        <f t="shared" si="1"/>
        <v>0.42884099996019842</v>
      </c>
      <c r="AQ36">
        <f t="shared" si="2"/>
        <v>0.36379896780009824</v>
      </c>
      <c r="AR36" s="17">
        <f t="shared" si="30"/>
        <v>0</v>
      </c>
      <c r="AS36" s="17">
        <f t="shared" si="3"/>
        <v>0</v>
      </c>
      <c r="AT36" s="17">
        <f t="shared" si="4"/>
        <v>0</v>
      </c>
      <c r="AU36" s="17">
        <f t="shared" si="5"/>
        <v>0</v>
      </c>
      <c r="AV36" s="17">
        <f t="shared" si="31"/>
        <v>1</v>
      </c>
      <c r="AY36">
        <v>894</v>
      </c>
      <c r="AZ36" t="s">
        <v>152</v>
      </c>
      <c r="BA36">
        <v>151398</v>
      </c>
      <c r="BB36" s="17">
        <v>0</v>
      </c>
      <c r="BC36">
        <v>0</v>
      </c>
      <c r="BD36">
        <v>0</v>
      </c>
      <c r="BE36">
        <v>0</v>
      </c>
      <c r="BF36">
        <v>1</v>
      </c>
      <c r="BI36">
        <v>894</v>
      </c>
      <c r="BJ36" t="s">
        <v>152</v>
      </c>
      <c r="BK36">
        <v>151398</v>
      </c>
      <c r="BL36">
        <v>0</v>
      </c>
      <c r="BM36" s="17">
        <v>0</v>
      </c>
      <c r="BN36">
        <v>0</v>
      </c>
      <c r="BO36">
        <v>0</v>
      </c>
      <c r="BP36">
        <v>1</v>
      </c>
      <c r="BS36">
        <v>894</v>
      </c>
      <c r="BT36" t="s">
        <v>152</v>
      </c>
      <c r="BU36">
        <v>151398</v>
      </c>
      <c r="BV36">
        <v>0</v>
      </c>
      <c r="BW36">
        <v>0</v>
      </c>
      <c r="BX36" s="17">
        <v>0</v>
      </c>
      <c r="BY36">
        <v>0</v>
      </c>
      <c r="BZ36">
        <v>1</v>
      </c>
      <c r="CC36">
        <v>894</v>
      </c>
      <c r="CD36" t="s">
        <v>152</v>
      </c>
      <c r="CE36">
        <v>151398</v>
      </c>
      <c r="CF36">
        <v>0</v>
      </c>
      <c r="CG36">
        <v>0</v>
      </c>
      <c r="CH36">
        <v>0</v>
      </c>
      <c r="CI36" s="17">
        <v>0</v>
      </c>
      <c r="CJ36">
        <v>1</v>
      </c>
      <c r="CM36">
        <v>5141</v>
      </c>
      <c r="CN36" t="s">
        <v>113</v>
      </c>
      <c r="CO36">
        <v>85871</v>
      </c>
      <c r="CP36">
        <v>0</v>
      </c>
      <c r="CQ36">
        <v>0</v>
      </c>
      <c r="CR36">
        <v>0</v>
      </c>
      <c r="CS36">
        <v>1</v>
      </c>
      <c r="CT36" s="17">
        <v>0</v>
      </c>
    </row>
    <row r="37" spans="1:98">
      <c r="A37">
        <f t="shared" si="32"/>
        <v>30</v>
      </c>
      <c r="B37">
        <v>2814</v>
      </c>
      <c r="C37" t="s">
        <v>123</v>
      </c>
      <c r="D37">
        <v>14326</v>
      </c>
      <c r="E37">
        <v>12958</v>
      </c>
      <c r="F37">
        <v>13240</v>
      </c>
      <c r="G37">
        <v>10508</v>
      </c>
      <c r="H37">
        <v>14360</v>
      </c>
      <c r="I37">
        <v>11306</v>
      </c>
      <c r="J37">
        <v>12095</v>
      </c>
      <c r="K37">
        <v>13844</v>
      </c>
      <c r="L37">
        <v>11301</v>
      </c>
      <c r="M37">
        <v>12539</v>
      </c>
      <c r="N37">
        <v>11640</v>
      </c>
      <c r="O37">
        <v>13767</v>
      </c>
      <c r="P37">
        <f t="shared" si="6"/>
        <v>40524</v>
      </c>
      <c r="Q37">
        <f t="shared" si="7"/>
        <v>36174</v>
      </c>
      <c r="R37">
        <f t="shared" si="8"/>
        <v>37240</v>
      </c>
      <c r="S37">
        <f t="shared" si="9"/>
        <v>37946</v>
      </c>
      <c r="T37" s="17">
        <f t="shared" si="10"/>
        <v>151884</v>
      </c>
      <c r="U37">
        <v>3</v>
      </c>
      <c r="V37">
        <f t="shared" si="11"/>
        <v>2</v>
      </c>
      <c r="W37">
        <f t="shared" si="12"/>
        <v>13508</v>
      </c>
      <c r="X37">
        <f t="shared" si="13"/>
        <v>12058</v>
      </c>
      <c r="Y37">
        <f t="shared" si="14"/>
        <v>12413.333333333334</v>
      </c>
      <c r="Z37">
        <f t="shared" si="15"/>
        <v>12648.666666666666</v>
      </c>
      <c r="AA37">
        <f t="shared" si="16"/>
        <v>12657</v>
      </c>
      <c r="AB37">
        <f t="shared" si="17"/>
        <v>851</v>
      </c>
      <c r="AC37">
        <f t="shared" si="18"/>
        <v>-599</v>
      </c>
      <c r="AD37">
        <f t="shared" si="19"/>
        <v>-243.66666666666606</v>
      </c>
      <c r="AE37">
        <f t="shared" si="20"/>
        <v>-8.3333333333339397</v>
      </c>
      <c r="AF37">
        <f t="shared" si="21"/>
        <v>722.30464486946221</v>
      </c>
      <c r="AG37">
        <f t="shared" si="22"/>
        <v>2033.1266561628668</v>
      </c>
      <c r="AH37">
        <f t="shared" si="23"/>
        <v>1301.0435555097083</v>
      </c>
      <c r="AI37">
        <f t="shared" si="24"/>
        <v>1067.7323322506177</v>
      </c>
      <c r="AJ37">
        <f t="shared" si="25"/>
        <v>1.6661885675634891</v>
      </c>
      <c r="AK37">
        <f t="shared" si="26"/>
        <v>-0.41665575594795834</v>
      </c>
      <c r="AL37">
        <f t="shared" si="27"/>
        <v>-0.26486177441095821</v>
      </c>
      <c r="AM37">
        <f t="shared" si="28"/>
        <v>-1.1037516298617109E-2</v>
      </c>
      <c r="AN37">
        <f t="shared" si="29"/>
        <v>0.11879936568510463</v>
      </c>
      <c r="AO37">
        <f t="shared" si="0"/>
        <v>0.35869505000070995</v>
      </c>
      <c r="AP37">
        <f t="shared" si="1"/>
        <v>0.40795754444117172</v>
      </c>
      <c r="AQ37">
        <f t="shared" si="2"/>
        <v>0.49609776753651852</v>
      </c>
      <c r="AR37" s="17">
        <f t="shared" si="30"/>
        <v>0</v>
      </c>
      <c r="AS37" s="17">
        <f t="shared" si="3"/>
        <v>0</v>
      </c>
      <c r="AT37" s="17">
        <f t="shared" si="4"/>
        <v>0</v>
      </c>
      <c r="AU37" s="17">
        <f t="shared" si="5"/>
        <v>0</v>
      </c>
      <c r="AV37" s="17">
        <f t="shared" si="31"/>
        <v>1</v>
      </c>
      <c r="AY37">
        <v>2814</v>
      </c>
      <c r="AZ37" t="s">
        <v>122</v>
      </c>
      <c r="BA37">
        <v>151884</v>
      </c>
      <c r="BB37" s="17">
        <v>0</v>
      </c>
      <c r="BC37">
        <v>0</v>
      </c>
      <c r="BD37">
        <v>0</v>
      </c>
      <c r="BE37">
        <v>0</v>
      </c>
      <c r="BF37">
        <v>1</v>
      </c>
      <c r="BI37">
        <v>2814</v>
      </c>
      <c r="BJ37" t="s">
        <v>122</v>
      </c>
      <c r="BK37">
        <v>151884</v>
      </c>
      <c r="BL37">
        <v>0</v>
      </c>
      <c r="BM37" s="17">
        <v>0</v>
      </c>
      <c r="BN37">
        <v>0</v>
      </c>
      <c r="BO37">
        <v>0</v>
      </c>
      <c r="BP37">
        <v>1</v>
      </c>
      <c r="BS37">
        <v>2814</v>
      </c>
      <c r="BT37" t="s">
        <v>122</v>
      </c>
      <c r="BU37">
        <v>151884</v>
      </c>
      <c r="BV37">
        <v>0</v>
      </c>
      <c r="BW37">
        <v>0</v>
      </c>
      <c r="BX37" s="17">
        <v>0</v>
      </c>
      <c r="BY37">
        <v>0</v>
      </c>
      <c r="BZ37">
        <v>1</v>
      </c>
      <c r="CC37">
        <v>2814</v>
      </c>
      <c r="CD37" t="s">
        <v>122</v>
      </c>
      <c r="CE37">
        <v>151884</v>
      </c>
      <c r="CF37">
        <v>0</v>
      </c>
      <c r="CG37">
        <v>0</v>
      </c>
      <c r="CH37">
        <v>0</v>
      </c>
      <c r="CI37" s="17">
        <v>0</v>
      </c>
      <c r="CJ37">
        <v>1</v>
      </c>
      <c r="CM37">
        <v>9574</v>
      </c>
      <c r="CN37" t="s">
        <v>126</v>
      </c>
      <c r="CO37">
        <v>81232</v>
      </c>
      <c r="CP37">
        <v>0</v>
      </c>
      <c r="CQ37">
        <v>0</v>
      </c>
      <c r="CR37">
        <v>0</v>
      </c>
      <c r="CS37">
        <v>1</v>
      </c>
      <c r="CT37" s="17">
        <v>0</v>
      </c>
    </row>
  </sheetData>
  <sortState ref="CM8:CT37">
    <sortCondition descending="1" ref="CT8:CT37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Y70"/>
  <sheetViews>
    <sheetView workbookViewId="0"/>
  </sheetViews>
  <sheetFormatPr defaultRowHeight="13.5"/>
  <cols>
    <col min="1" max="1" width="3.125" style="2" customWidth="1"/>
    <col min="2" max="2" width="9" style="2"/>
    <col min="3" max="3" width="10.25" style="2" bestFit="1" customWidth="1"/>
    <col min="4" max="5" width="9" style="2"/>
    <col min="6" max="6" width="9.25" style="2" bestFit="1" customWidth="1"/>
    <col min="7" max="15" width="9" style="2"/>
    <col min="16" max="16" width="3.125" style="2" customWidth="1"/>
    <col min="17" max="30" width="9" style="2"/>
    <col min="31" max="31" width="3.125" style="2" customWidth="1"/>
    <col min="32" max="32" width="9" style="2"/>
    <col min="33" max="33" width="9.25" style="2" bestFit="1" customWidth="1"/>
    <col min="34" max="45" width="9" style="2"/>
    <col min="46" max="46" width="3.125" style="2" customWidth="1"/>
    <col min="47" max="47" width="9" style="2"/>
    <col min="48" max="48" width="9.25" style="2" bestFit="1" customWidth="1"/>
    <col min="49" max="50" width="9" style="2"/>
    <col min="51" max="51" width="9.25" style="2" bestFit="1" customWidth="1"/>
    <col min="52" max="16384" width="9" style="2"/>
  </cols>
  <sheetData>
    <row r="2" spans="1:51">
      <c r="A2" s="2" t="s">
        <v>244</v>
      </c>
    </row>
    <row r="4" spans="1:51">
      <c r="A4" s="2" t="s">
        <v>24</v>
      </c>
      <c r="P4" s="2" t="s">
        <v>25</v>
      </c>
      <c r="AE4" s="2" t="s">
        <v>26</v>
      </c>
      <c r="AT4" s="2" t="s">
        <v>23</v>
      </c>
    </row>
    <row r="5" spans="1:51">
      <c r="A5" s="2" t="s">
        <v>180</v>
      </c>
      <c r="P5" s="2" t="s">
        <v>181</v>
      </c>
      <c r="AE5" s="2" t="s">
        <v>181</v>
      </c>
      <c r="AT5" s="2" t="s">
        <v>182</v>
      </c>
    </row>
    <row r="7" spans="1:51">
      <c r="C7" s="30" t="s">
        <v>4</v>
      </c>
      <c r="F7" s="30" t="s">
        <v>17</v>
      </c>
      <c r="R7" s="30" t="s">
        <v>4</v>
      </c>
      <c r="U7" s="30" t="s">
        <v>17</v>
      </c>
      <c r="AG7" s="30" t="s">
        <v>4</v>
      </c>
      <c r="AJ7" s="30" t="s">
        <v>17</v>
      </c>
      <c r="AV7" s="30" t="s">
        <v>4</v>
      </c>
      <c r="AY7" s="30" t="s">
        <v>17</v>
      </c>
    </row>
    <row r="8" spans="1:51">
      <c r="B8" s="2" t="s">
        <v>6</v>
      </c>
      <c r="C8" s="8">
        <f>SUM(C10:C17)</f>
        <v>52581117.75</v>
      </c>
      <c r="F8" s="39">
        <f>C10</f>
        <v>5436422.25</v>
      </c>
      <c r="Q8" s="2" t="s">
        <v>6</v>
      </c>
      <c r="R8" s="8">
        <f>SUM(R10:R33)</f>
        <v>305319</v>
      </c>
      <c r="U8" s="8">
        <f>R20</f>
        <v>19534</v>
      </c>
      <c r="AF8" s="2" t="s">
        <v>6</v>
      </c>
      <c r="AG8" s="8">
        <f>SUM(AG10:AG16)</f>
        <v>1683218</v>
      </c>
      <c r="AJ8" s="8">
        <f>AG10</f>
        <v>310578</v>
      </c>
      <c r="AU8" s="2" t="s">
        <v>6</v>
      </c>
      <c r="AV8" s="8">
        <f>SUM(AV10:AV14)</f>
        <v>5464848</v>
      </c>
      <c r="AY8" s="8">
        <f>AV10</f>
        <v>1132417</v>
      </c>
    </row>
    <row r="9" spans="1:51">
      <c r="A9" s="4"/>
      <c r="B9" s="11" t="s">
        <v>329</v>
      </c>
      <c r="C9" s="11" t="s">
        <v>0</v>
      </c>
      <c r="D9" s="11" t="s">
        <v>1</v>
      </c>
      <c r="E9" s="32" t="s">
        <v>206</v>
      </c>
      <c r="F9" s="32" t="s">
        <v>207</v>
      </c>
      <c r="P9" s="4"/>
      <c r="Q9" s="11" t="s">
        <v>81</v>
      </c>
      <c r="R9" s="11" t="s">
        <v>0</v>
      </c>
      <c r="S9" s="11" t="s">
        <v>1</v>
      </c>
      <c r="T9" s="32" t="s">
        <v>206</v>
      </c>
      <c r="U9" s="32" t="s">
        <v>207</v>
      </c>
      <c r="AE9" s="4"/>
      <c r="AF9" s="11" t="s">
        <v>178</v>
      </c>
      <c r="AG9" s="11" t="s">
        <v>0</v>
      </c>
      <c r="AH9" s="11" t="s">
        <v>1</v>
      </c>
      <c r="AI9" s="32" t="s">
        <v>206</v>
      </c>
      <c r="AJ9" s="32" t="s">
        <v>207</v>
      </c>
      <c r="AT9" s="4"/>
      <c r="AU9" s="11" t="s">
        <v>179</v>
      </c>
      <c r="AV9" s="11" t="s">
        <v>0</v>
      </c>
      <c r="AW9" s="11" t="s">
        <v>1</v>
      </c>
      <c r="AX9" s="32" t="s">
        <v>206</v>
      </c>
      <c r="AY9" s="32" t="s">
        <v>207</v>
      </c>
    </row>
    <row r="10" spans="1:51">
      <c r="A10" s="5">
        <f>1</f>
        <v>1</v>
      </c>
      <c r="B10" s="23" t="s">
        <v>27</v>
      </c>
      <c r="C10" s="1">
        <v>5436422.25</v>
      </c>
      <c r="D10" s="1">
        <v>1536</v>
      </c>
      <c r="E10" s="59">
        <f>C10/$C$8</f>
        <v>0.10339115033361952</v>
      </c>
      <c r="F10" s="60">
        <f>C10/$F$8</f>
        <v>1</v>
      </c>
      <c r="P10" s="5">
        <f>1</f>
        <v>1</v>
      </c>
      <c r="Q10" s="23" t="s">
        <v>305</v>
      </c>
      <c r="R10" s="1">
        <v>0</v>
      </c>
      <c r="S10" s="1">
        <v>0</v>
      </c>
      <c r="T10" s="59">
        <f>R10/$R$8</f>
        <v>0</v>
      </c>
      <c r="U10" s="59">
        <f>R10/$U$8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5">
        <f>1</f>
        <v>1</v>
      </c>
      <c r="AF10" s="23" t="s">
        <v>43</v>
      </c>
      <c r="AG10" s="1">
        <v>310578</v>
      </c>
      <c r="AH10" s="1">
        <v>91</v>
      </c>
      <c r="AI10" s="59">
        <f>AG10/$AG$8</f>
        <v>0.18451442415658578</v>
      </c>
      <c r="AJ10" s="60">
        <f>AG10/$AJ$8</f>
        <v>1</v>
      </c>
      <c r="AT10" s="5">
        <f>1</f>
        <v>1</v>
      </c>
      <c r="AU10" s="23" t="s">
        <v>36</v>
      </c>
      <c r="AV10" s="1">
        <v>1132417</v>
      </c>
      <c r="AW10" s="1">
        <v>332</v>
      </c>
      <c r="AX10" s="47">
        <f>AV10/$AV$8</f>
        <v>0.20721838923973732</v>
      </c>
      <c r="AY10" s="61">
        <f>AV10/$AY$8</f>
        <v>1</v>
      </c>
    </row>
    <row r="11" spans="1:51">
      <c r="A11" s="5">
        <f t="shared" ref="A11:A17" si="0">A10+1</f>
        <v>2</v>
      </c>
      <c r="B11" s="23" t="s">
        <v>28</v>
      </c>
      <c r="C11" s="1">
        <v>4765334</v>
      </c>
      <c r="D11" s="1">
        <v>1328</v>
      </c>
      <c r="E11" s="59">
        <f>C11/$C$8</f>
        <v>9.0628236977712398E-2</v>
      </c>
      <c r="F11" s="59">
        <f t="shared" ref="F11:F17" si="1">C11/$F$8</f>
        <v>0.87655700401123182</v>
      </c>
      <c r="P11" s="5">
        <f t="shared" ref="P11:P22" si="2">P10+1</f>
        <v>2</v>
      </c>
      <c r="Q11" s="23" t="s">
        <v>306</v>
      </c>
      <c r="R11" s="1">
        <v>0</v>
      </c>
      <c r="S11" s="1">
        <v>0</v>
      </c>
      <c r="T11" s="59">
        <f t="shared" ref="T11:T33" si="3">R11/$R$8</f>
        <v>0</v>
      </c>
      <c r="U11" s="59">
        <f t="shared" ref="U11:U33" si="4">R11/$U$8</f>
        <v>0</v>
      </c>
      <c r="V11" s="3"/>
      <c r="W11" s="3"/>
      <c r="X11" s="3"/>
      <c r="Y11" s="3"/>
      <c r="Z11" s="3"/>
      <c r="AA11" s="3"/>
      <c r="AB11" s="3"/>
      <c r="AC11" s="3"/>
      <c r="AD11" s="3"/>
      <c r="AE11" s="5">
        <f t="shared" ref="AE11:AE16" si="5">AE10+1</f>
        <v>2</v>
      </c>
      <c r="AF11" s="23" t="s">
        <v>44</v>
      </c>
      <c r="AG11" s="1">
        <v>197064</v>
      </c>
      <c r="AH11" s="1">
        <v>58</v>
      </c>
      <c r="AI11" s="59">
        <f t="shared" ref="AI11:AI16" si="6">AG11/$AG$8</f>
        <v>0.11707574419950358</v>
      </c>
      <c r="AJ11" s="59">
        <f t="shared" ref="AJ11:AJ16" si="7">AG11/$AJ$8</f>
        <v>0.63450727353515057</v>
      </c>
      <c r="AT11" s="5">
        <f>AT10+1</f>
        <v>2</v>
      </c>
      <c r="AU11" s="23" t="s">
        <v>38</v>
      </c>
      <c r="AV11" s="1">
        <v>1310378</v>
      </c>
      <c r="AW11" s="1">
        <v>368</v>
      </c>
      <c r="AX11" s="47">
        <f>AV11/$AV$8</f>
        <v>0.23978306441460037</v>
      </c>
      <c r="AY11" s="47">
        <f t="shared" ref="AY11:AY14" si="8">AV11/$AY$8</f>
        <v>1.1571514733530139</v>
      </c>
    </row>
    <row r="12" spans="1:51">
      <c r="A12" s="5">
        <f t="shared" si="0"/>
        <v>3</v>
      </c>
      <c r="B12" s="23" t="s">
        <v>29</v>
      </c>
      <c r="C12" s="1">
        <v>7929218.5</v>
      </c>
      <c r="D12" s="1">
        <v>2112</v>
      </c>
      <c r="E12" s="59">
        <f>C12/$C$8</f>
        <v>0.15079973266639049</v>
      </c>
      <c r="F12" s="59">
        <f>C12/$F$8</f>
        <v>1.4585361723880075</v>
      </c>
      <c r="P12" s="5">
        <f t="shared" si="2"/>
        <v>3</v>
      </c>
      <c r="Q12" s="23" t="s">
        <v>307</v>
      </c>
      <c r="R12" s="1">
        <v>0</v>
      </c>
      <c r="S12" s="1">
        <v>0</v>
      </c>
      <c r="T12" s="59">
        <f t="shared" si="3"/>
        <v>0</v>
      </c>
      <c r="U12" s="59">
        <f t="shared" si="4"/>
        <v>0</v>
      </c>
      <c r="V12" s="3"/>
      <c r="W12" s="3"/>
      <c r="X12" s="3"/>
      <c r="Y12" s="3"/>
      <c r="Z12" s="3"/>
      <c r="AA12" s="3"/>
      <c r="AB12" s="3"/>
      <c r="AC12" s="3"/>
      <c r="AD12" s="3"/>
      <c r="AE12" s="5">
        <f t="shared" si="5"/>
        <v>3</v>
      </c>
      <c r="AF12" s="23" t="s">
        <v>46</v>
      </c>
      <c r="AG12" s="1">
        <v>214039</v>
      </c>
      <c r="AH12" s="1">
        <v>67</v>
      </c>
      <c r="AI12" s="59">
        <f t="shared" si="6"/>
        <v>0.12716059357730253</v>
      </c>
      <c r="AJ12" s="59">
        <f t="shared" si="7"/>
        <v>0.68916343076457443</v>
      </c>
      <c r="AT12" s="5">
        <f>AT11+1</f>
        <v>3</v>
      </c>
      <c r="AU12" s="23" t="s">
        <v>40</v>
      </c>
      <c r="AV12" s="1">
        <v>1306428</v>
      </c>
      <c r="AW12" s="1">
        <v>374</v>
      </c>
      <c r="AX12" s="47">
        <f>AV12/$AV$8</f>
        <v>0.23906026297529226</v>
      </c>
      <c r="AY12" s="47">
        <f t="shared" si="8"/>
        <v>1.1536633589923146</v>
      </c>
    </row>
    <row r="13" spans="1:51">
      <c r="A13" s="5">
        <f t="shared" si="0"/>
        <v>4</v>
      </c>
      <c r="B13" s="24" t="s">
        <v>30</v>
      </c>
      <c r="C13" s="1">
        <v>8938375.25</v>
      </c>
      <c r="D13" s="1">
        <v>2294</v>
      </c>
      <c r="E13" s="59">
        <f t="shared" ref="E13:E17" si="9">C13/$C$8</f>
        <v>0.16999211185464005</v>
      </c>
      <c r="F13" s="59">
        <f t="shared" si="1"/>
        <v>1.6441650112810866</v>
      </c>
      <c r="P13" s="5">
        <f t="shared" si="2"/>
        <v>4</v>
      </c>
      <c r="Q13" s="23" t="s">
        <v>308</v>
      </c>
      <c r="R13" s="1">
        <v>0</v>
      </c>
      <c r="S13" s="1">
        <v>0</v>
      </c>
      <c r="T13" s="59">
        <f t="shared" si="3"/>
        <v>0</v>
      </c>
      <c r="U13" s="59">
        <f t="shared" si="4"/>
        <v>0</v>
      </c>
      <c r="V13" s="3"/>
      <c r="W13" s="3"/>
      <c r="X13" s="3"/>
      <c r="Y13" s="3"/>
      <c r="Z13" s="3"/>
      <c r="AA13" s="3"/>
      <c r="AB13" s="3"/>
      <c r="AC13" s="3"/>
      <c r="AD13" s="3"/>
      <c r="AE13" s="5">
        <f t="shared" si="5"/>
        <v>4</v>
      </c>
      <c r="AF13" s="23" t="s">
        <v>48</v>
      </c>
      <c r="AG13" s="1">
        <v>220345</v>
      </c>
      <c r="AH13" s="1">
        <v>71</v>
      </c>
      <c r="AI13" s="59">
        <f t="shared" si="6"/>
        <v>0.13090698887488134</v>
      </c>
      <c r="AJ13" s="59">
        <f t="shared" si="7"/>
        <v>0.70946750896715161</v>
      </c>
      <c r="AT13" s="5">
        <f>AT12+1</f>
        <v>4</v>
      </c>
      <c r="AU13" s="23" t="s">
        <v>59</v>
      </c>
      <c r="AV13" s="1">
        <v>995307</v>
      </c>
      <c r="AW13" s="1">
        <v>284</v>
      </c>
      <c r="AX13" s="47">
        <f>AV13/$AV$8</f>
        <v>0.18212894484896927</v>
      </c>
      <c r="AY13" s="47">
        <f t="shared" si="8"/>
        <v>0.87892269367203069</v>
      </c>
    </row>
    <row r="14" spans="1:51">
      <c r="A14" s="5">
        <f t="shared" si="0"/>
        <v>5</v>
      </c>
      <c r="B14" s="23" t="s">
        <v>31</v>
      </c>
      <c r="C14" s="1">
        <v>7665033.25</v>
      </c>
      <c r="D14" s="1">
        <v>2182</v>
      </c>
      <c r="E14" s="59">
        <f t="shared" si="9"/>
        <v>0.14577539576933013</v>
      </c>
      <c r="F14" s="59">
        <f t="shared" si="1"/>
        <v>1.4099407473361731</v>
      </c>
      <c r="P14" s="5">
        <f t="shared" si="2"/>
        <v>5</v>
      </c>
      <c r="Q14" s="23" t="s">
        <v>309</v>
      </c>
      <c r="R14" s="1">
        <v>0</v>
      </c>
      <c r="S14" s="1">
        <v>0</v>
      </c>
      <c r="T14" s="59">
        <f t="shared" si="3"/>
        <v>0</v>
      </c>
      <c r="U14" s="59">
        <f t="shared" si="4"/>
        <v>0</v>
      </c>
      <c r="V14" s="3"/>
      <c r="W14" s="3"/>
      <c r="X14" s="3"/>
      <c r="Y14" s="3"/>
      <c r="Z14" s="3"/>
      <c r="AA14" s="3"/>
      <c r="AB14" s="3"/>
      <c r="AC14" s="3"/>
      <c r="AD14" s="3"/>
      <c r="AE14" s="5">
        <f t="shared" si="5"/>
        <v>5</v>
      </c>
      <c r="AF14" s="23" t="s">
        <v>50</v>
      </c>
      <c r="AG14" s="1">
        <v>183076</v>
      </c>
      <c r="AH14" s="1">
        <v>57</v>
      </c>
      <c r="AI14" s="59">
        <f t="shared" si="6"/>
        <v>0.10876547185213085</v>
      </c>
      <c r="AJ14" s="59">
        <f t="shared" si="7"/>
        <v>0.5894686680962592</v>
      </c>
      <c r="AT14" s="5">
        <f>AT13+1</f>
        <v>5</v>
      </c>
      <c r="AU14" s="23" t="s">
        <v>61</v>
      </c>
      <c r="AV14" s="1">
        <v>720318</v>
      </c>
      <c r="AW14" s="1">
        <v>207</v>
      </c>
      <c r="AX14" s="47">
        <f>AV14/$AV$8</f>
        <v>0.13180933852140078</v>
      </c>
      <c r="AY14" s="47">
        <f t="shared" si="8"/>
        <v>0.63608900254941425</v>
      </c>
    </row>
    <row r="15" spans="1:51">
      <c r="A15" s="5">
        <f t="shared" si="0"/>
        <v>6</v>
      </c>
      <c r="B15" s="23" t="s">
        <v>32</v>
      </c>
      <c r="C15" s="1">
        <v>7439052.25</v>
      </c>
      <c r="D15" s="1">
        <v>2168</v>
      </c>
      <c r="E15" s="59">
        <f t="shared" si="9"/>
        <v>0.14147763623758264</v>
      </c>
      <c r="F15" s="59">
        <f t="shared" si="1"/>
        <v>1.3683727841412612</v>
      </c>
      <c r="P15" s="5">
        <f t="shared" si="2"/>
        <v>6</v>
      </c>
      <c r="Q15" s="23" t="s">
        <v>310</v>
      </c>
      <c r="R15" s="1">
        <v>0</v>
      </c>
      <c r="S15" s="1">
        <v>0</v>
      </c>
      <c r="T15" s="59">
        <f t="shared" si="3"/>
        <v>0</v>
      </c>
      <c r="U15" s="59">
        <f t="shared" si="4"/>
        <v>0</v>
      </c>
      <c r="V15" s="3"/>
      <c r="W15" s="3"/>
      <c r="X15" s="3"/>
      <c r="Y15" s="3"/>
      <c r="Z15" s="3"/>
      <c r="AA15" s="3"/>
      <c r="AB15" s="3"/>
      <c r="AC15" s="3"/>
      <c r="AD15" s="3"/>
      <c r="AE15" s="5">
        <f t="shared" si="5"/>
        <v>6</v>
      </c>
      <c r="AF15" s="23" t="s">
        <v>52</v>
      </c>
      <c r="AG15" s="1">
        <v>254103</v>
      </c>
      <c r="AH15" s="1">
        <v>77</v>
      </c>
      <c r="AI15" s="59">
        <f t="shared" si="6"/>
        <v>0.15096262040923991</v>
      </c>
      <c r="AJ15" s="59">
        <f t="shared" si="7"/>
        <v>0.81816162123524527</v>
      </c>
    </row>
    <row r="16" spans="1:51">
      <c r="A16" s="5">
        <f t="shared" si="0"/>
        <v>7</v>
      </c>
      <c r="B16" s="23" t="s">
        <v>33</v>
      </c>
      <c r="C16" s="1">
        <v>5419842.75</v>
      </c>
      <c r="D16" s="1">
        <v>1520</v>
      </c>
      <c r="E16" s="59">
        <f t="shared" si="9"/>
        <v>0.10307583752344253</v>
      </c>
      <c r="F16" s="59">
        <f t="shared" si="1"/>
        <v>0.99695029207858166</v>
      </c>
      <c r="P16" s="5">
        <f t="shared" si="2"/>
        <v>7</v>
      </c>
      <c r="Q16" s="23" t="s">
        <v>311</v>
      </c>
      <c r="R16" s="1">
        <v>0</v>
      </c>
      <c r="S16" s="1">
        <v>0</v>
      </c>
      <c r="T16" s="59">
        <f t="shared" si="3"/>
        <v>0</v>
      </c>
      <c r="U16" s="59">
        <f t="shared" si="4"/>
        <v>0</v>
      </c>
      <c r="V16" s="3"/>
      <c r="W16" s="3"/>
      <c r="X16" s="3"/>
      <c r="Y16" s="3"/>
      <c r="Z16" s="3"/>
      <c r="AA16" s="3"/>
      <c r="AB16" s="3"/>
      <c r="AC16" s="3"/>
      <c r="AD16" s="3"/>
      <c r="AE16" s="5">
        <f t="shared" si="5"/>
        <v>7</v>
      </c>
      <c r="AF16" s="23" t="s">
        <v>54</v>
      </c>
      <c r="AG16" s="1">
        <v>304013</v>
      </c>
      <c r="AH16" s="1">
        <v>89</v>
      </c>
      <c r="AI16" s="59">
        <f t="shared" si="6"/>
        <v>0.18061415693035601</v>
      </c>
      <c r="AJ16" s="59">
        <f t="shared" si="7"/>
        <v>0.97886199280052033</v>
      </c>
    </row>
    <row r="17" spans="1:36">
      <c r="A17" s="5">
        <f t="shared" si="0"/>
        <v>8</v>
      </c>
      <c r="B17" s="23" t="s">
        <v>34</v>
      </c>
      <c r="C17" s="1">
        <v>4987839.5</v>
      </c>
      <c r="D17" s="1">
        <v>1436</v>
      </c>
      <c r="E17" s="59">
        <f t="shared" si="9"/>
        <v>9.4859898637282197E-2</v>
      </c>
      <c r="F17" s="59">
        <f t="shared" si="1"/>
        <v>0.91748566807885457</v>
      </c>
      <c r="P17" s="5">
        <f t="shared" si="2"/>
        <v>8</v>
      </c>
      <c r="Q17" s="23" t="s">
        <v>312</v>
      </c>
      <c r="R17" s="1">
        <v>0</v>
      </c>
      <c r="S17" s="1">
        <v>0</v>
      </c>
      <c r="T17" s="59">
        <f t="shared" si="3"/>
        <v>0</v>
      </c>
      <c r="U17" s="59">
        <f t="shared" si="4"/>
        <v>0</v>
      </c>
      <c r="V17" s="3"/>
      <c r="W17" s="3"/>
      <c r="X17" s="3"/>
      <c r="Y17" s="3"/>
      <c r="Z17" s="3"/>
      <c r="AA17" s="3"/>
      <c r="AB17" s="3"/>
      <c r="AC17" s="3"/>
      <c r="AD17" s="3"/>
    </row>
    <row r="18" spans="1:36">
      <c r="A18" s="6"/>
      <c r="B18" s="6"/>
      <c r="C18" s="7"/>
      <c r="D18" s="7"/>
      <c r="E18" s="7"/>
      <c r="F18" s="7"/>
      <c r="P18" s="5">
        <f t="shared" si="2"/>
        <v>9</v>
      </c>
      <c r="Q18" s="23" t="s">
        <v>313</v>
      </c>
      <c r="R18" s="1">
        <v>0</v>
      </c>
      <c r="S18" s="1">
        <v>0</v>
      </c>
      <c r="T18" s="59">
        <f t="shared" si="3"/>
        <v>0</v>
      </c>
      <c r="U18" s="59">
        <f t="shared" si="4"/>
        <v>0</v>
      </c>
      <c r="V18" s="3"/>
      <c r="W18" s="3"/>
      <c r="X18" s="3"/>
      <c r="Y18" s="3"/>
      <c r="Z18" s="3"/>
      <c r="AA18" s="3"/>
      <c r="AB18" s="3"/>
      <c r="AC18" s="3"/>
      <c r="AD18" s="3"/>
      <c r="AE18" s="6"/>
      <c r="AF18" s="6"/>
      <c r="AG18" s="7"/>
      <c r="AH18" s="7"/>
      <c r="AI18" s="7"/>
      <c r="AJ18" s="7"/>
    </row>
    <row r="19" spans="1:36">
      <c r="A19" s="6"/>
      <c r="B19" s="6"/>
      <c r="C19" s="7"/>
      <c r="D19" s="7"/>
      <c r="E19" s="7"/>
      <c r="F19" s="7"/>
      <c r="P19" s="5">
        <f t="shared" si="2"/>
        <v>10</v>
      </c>
      <c r="Q19" s="23" t="s">
        <v>314</v>
      </c>
      <c r="R19" s="1">
        <v>0</v>
      </c>
      <c r="S19" s="1">
        <v>0</v>
      </c>
      <c r="T19" s="59">
        <f t="shared" si="3"/>
        <v>0</v>
      </c>
      <c r="U19" s="59">
        <f t="shared" si="4"/>
        <v>0</v>
      </c>
      <c r="V19" s="3"/>
      <c r="W19" s="3"/>
      <c r="X19" s="3"/>
      <c r="Y19" s="3"/>
      <c r="Z19" s="3"/>
      <c r="AA19" s="3"/>
      <c r="AB19" s="3"/>
      <c r="AC19" s="3"/>
      <c r="AD19" s="3"/>
      <c r="AE19" s="6"/>
      <c r="AF19" s="6"/>
      <c r="AG19" s="7"/>
      <c r="AH19" s="7"/>
      <c r="AI19" s="7"/>
      <c r="AJ19" s="7"/>
    </row>
    <row r="20" spans="1:36">
      <c r="A20" s="6"/>
      <c r="B20" s="6"/>
      <c r="C20" s="7"/>
      <c r="D20" s="7"/>
      <c r="E20" s="7"/>
      <c r="F20" s="7"/>
      <c r="P20" s="5">
        <f t="shared" si="2"/>
        <v>11</v>
      </c>
      <c r="Q20" s="23" t="s">
        <v>315</v>
      </c>
      <c r="R20" s="1">
        <v>19534</v>
      </c>
      <c r="S20" s="1">
        <v>8</v>
      </c>
      <c r="T20" s="59">
        <f t="shared" si="3"/>
        <v>6.3978985913094172E-2</v>
      </c>
      <c r="U20" s="60">
        <f t="shared" si="4"/>
        <v>1</v>
      </c>
      <c r="V20" s="3"/>
      <c r="W20" s="3"/>
      <c r="X20" s="3"/>
      <c r="Y20" s="3"/>
      <c r="Z20" s="3"/>
      <c r="AA20" s="3"/>
      <c r="AB20" s="3"/>
      <c r="AC20" s="3"/>
      <c r="AD20" s="3"/>
      <c r="AE20" s="6"/>
      <c r="AF20" s="6"/>
      <c r="AG20" s="7"/>
      <c r="AH20" s="7"/>
      <c r="AI20" s="7"/>
      <c r="AJ20" s="7"/>
    </row>
    <row r="21" spans="1:36">
      <c r="A21" s="6"/>
      <c r="B21" s="6"/>
      <c r="C21" s="7"/>
      <c r="D21" s="7"/>
      <c r="E21" s="7"/>
      <c r="F21" s="7"/>
      <c r="P21" s="5">
        <f t="shared" si="2"/>
        <v>12</v>
      </c>
      <c r="Q21" s="23" t="s">
        <v>316</v>
      </c>
      <c r="R21" s="1">
        <v>28430</v>
      </c>
      <c r="S21" s="1">
        <v>10</v>
      </c>
      <c r="T21" s="59">
        <f t="shared" si="3"/>
        <v>9.3115724864813523E-2</v>
      </c>
      <c r="U21" s="59">
        <f t="shared" si="4"/>
        <v>1.4554110781202008</v>
      </c>
      <c r="V21" s="3"/>
      <c r="W21" s="3"/>
      <c r="X21" s="3"/>
      <c r="Y21" s="3"/>
      <c r="Z21" s="3"/>
      <c r="AA21" s="3"/>
      <c r="AB21" s="3"/>
      <c r="AC21" s="3"/>
      <c r="AD21" s="3"/>
      <c r="AE21" s="6"/>
      <c r="AF21" s="6"/>
      <c r="AG21" s="7"/>
      <c r="AH21" s="7"/>
      <c r="AI21" s="7"/>
      <c r="AJ21" s="7"/>
    </row>
    <row r="22" spans="1:36">
      <c r="A22" s="6"/>
      <c r="B22" s="6"/>
      <c r="C22" s="7"/>
      <c r="D22" s="7"/>
      <c r="E22" s="7"/>
      <c r="F22" s="7"/>
      <c r="P22" s="5">
        <f t="shared" si="2"/>
        <v>13</v>
      </c>
      <c r="Q22" s="23" t="s">
        <v>317</v>
      </c>
      <c r="R22" s="1">
        <v>10348</v>
      </c>
      <c r="S22" s="1">
        <v>3</v>
      </c>
      <c r="T22" s="59">
        <f t="shared" si="3"/>
        <v>3.3892420714072821E-2</v>
      </c>
      <c r="U22" s="59">
        <f t="shared" si="4"/>
        <v>0.52974301218388453</v>
      </c>
      <c r="AE22" s="6"/>
      <c r="AF22" s="6"/>
      <c r="AG22" s="7"/>
      <c r="AH22" s="7"/>
      <c r="AI22" s="7"/>
      <c r="AJ22" s="7"/>
    </row>
    <row r="23" spans="1:36">
      <c r="A23" s="6"/>
      <c r="B23" s="6"/>
      <c r="C23" s="7"/>
      <c r="D23" s="7"/>
      <c r="E23" s="7"/>
      <c r="F23" s="7"/>
      <c r="P23" s="5">
        <f t="shared" ref="P23:P33" si="10">P22+1</f>
        <v>14</v>
      </c>
      <c r="Q23" s="23" t="s">
        <v>318</v>
      </c>
      <c r="R23" s="1">
        <v>24610</v>
      </c>
      <c r="S23" s="1">
        <v>9</v>
      </c>
      <c r="T23" s="59">
        <f t="shared" si="3"/>
        <v>8.0604220503800936E-2</v>
      </c>
      <c r="U23" s="59">
        <f t="shared" si="4"/>
        <v>1.2598546124705641</v>
      </c>
      <c r="V23" s="3"/>
      <c r="W23" s="3"/>
      <c r="X23" s="3"/>
      <c r="Y23" s="3"/>
      <c r="Z23" s="3"/>
      <c r="AA23" s="3"/>
      <c r="AB23" s="3"/>
      <c r="AC23" s="3"/>
      <c r="AD23" s="3"/>
      <c r="AE23" s="6"/>
      <c r="AF23" s="6"/>
      <c r="AG23" s="7"/>
      <c r="AH23" s="7"/>
      <c r="AI23" s="7"/>
      <c r="AJ23" s="7"/>
    </row>
    <row r="24" spans="1:36">
      <c r="A24" s="6"/>
      <c r="B24" s="6"/>
      <c r="C24" s="7"/>
      <c r="D24" s="7"/>
      <c r="E24" s="7"/>
      <c r="F24" s="7"/>
      <c r="P24" s="5">
        <f t="shared" si="10"/>
        <v>15</v>
      </c>
      <c r="Q24" s="23" t="s">
        <v>319</v>
      </c>
      <c r="R24" s="1">
        <v>32071</v>
      </c>
      <c r="S24" s="1">
        <v>10</v>
      </c>
      <c r="T24" s="59">
        <f t="shared" si="3"/>
        <v>0.10504095716283625</v>
      </c>
      <c r="U24" s="59">
        <f t="shared" si="4"/>
        <v>1.6418040339920139</v>
      </c>
      <c r="V24" s="3"/>
      <c r="W24" s="3"/>
      <c r="X24" s="3"/>
      <c r="Y24" s="3"/>
      <c r="Z24" s="3"/>
      <c r="AA24" s="3"/>
      <c r="AB24" s="3"/>
      <c r="AC24" s="3"/>
      <c r="AD24" s="3"/>
      <c r="AE24" s="6"/>
      <c r="AF24" s="6"/>
      <c r="AG24" s="7"/>
      <c r="AH24" s="7"/>
      <c r="AI24" s="7"/>
      <c r="AJ24" s="7"/>
    </row>
    <row r="25" spans="1:36">
      <c r="A25" s="6"/>
      <c r="B25" s="6"/>
      <c r="C25" s="7"/>
      <c r="D25" s="7"/>
      <c r="E25" s="7"/>
      <c r="F25" s="7"/>
      <c r="P25" s="5">
        <f t="shared" si="10"/>
        <v>16</v>
      </c>
      <c r="Q25" s="23" t="s">
        <v>320</v>
      </c>
      <c r="R25" s="1">
        <v>33901</v>
      </c>
      <c r="S25" s="1">
        <v>12</v>
      </c>
      <c r="T25" s="59">
        <f t="shared" si="3"/>
        <v>0.11103468830960406</v>
      </c>
      <c r="U25" s="59">
        <f t="shared" si="4"/>
        <v>1.735486843452442</v>
      </c>
      <c r="V25" s="3"/>
      <c r="W25" s="3"/>
      <c r="X25" s="3"/>
      <c r="Y25" s="3"/>
      <c r="Z25" s="3"/>
      <c r="AA25" s="3"/>
      <c r="AB25" s="3"/>
      <c r="AC25" s="3"/>
      <c r="AD25" s="3"/>
      <c r="AE25" s="6"/>
      <c r="AF25" s="6"/>
      <c r="AG25" s="7"/>
      <c r="AH25" s="7"/>
      <c r="AI25" s="7"/>
      <c r="AJ25" s="7"/>
    </row>
    <row r="26" spans="1:36">
      <c r="A26" s="6"/>
      <c r="B26" s="6"/>
      <c r="C26" s="7"/>
      <c r="D26" s="7"/>
      <c r="E26" s="7"/>
      <c r="F26" s="7"/>
      <c r="G26" s="6"/>
      <c r="H26" s="6"/>
      <c r="I26" s="6"/>
      <c r="J26" s="6"/>
      <c r="K26" s="6"/>
      <c r="L26" s="6"/>
      <c r="M26" s="6"/>
      <c r="N26" s="6"/>
      <c r="O26" s="6"/>
      <c r="P26" s="5">
        <f t="shared" si="10"/>
        <v>17</v>
      </c>
      <c r="Q26" s="23" t="s">
        <v>321</v>
      </c>
      <c r="R26" s="1">
        <v>30486</v>
      </c>
      <c r="S26" s="1">
        <v>11</v>
      </c>
      <c r="T26" s="59">
        <f t="shared" si="3"/>
        <v>9.984966543189254E-2</v>
      </c>
      <c r="U26" s="59">
        <f t="shared" si="4"/>
        <v>1.5606634585850312</v>
      </c>
      <c r="V26" s="3"/>
      <c r="W26" s="3"/>
      <c r="X26" s="3"/>
      <c r="Y26" s="3"/>
      <c r="Z26" s="3"/>
      <c r="AA26" s="3"/>
      <c r="AB26" s="3"/>
      <c r="AC26" s="3"/>
      <c r="AD26" s="3"/>
      <c r="AE26" s="6"/>
      <c r="AF26" s="6"/>
      <c r="AG26" s="7"/>
      <c r="AH26" s="7"/>
      <c r="AI26" s="7"/>
      <c r="AJ26" s="7"/>
    </row>
    <row r="27" spans="1:36">
      <c r="A27" s="6"/>
      <c r="B27" s="6"/>
      <c r="C27" s="7"/>
      <c r="D27" s="7"/>
      <c r="E27" s="7"/>
      <c r="F27" s="7"/>
      <c r="G27" s="6"/>
      <c r="H27" s="6"/>
      <c r="I27" s="6"/>
      <c r="J27" s="6"/>
      <c r="K27" s="6"/>
      <c r="L27" s="6"/>
      <c r="M27" s="6"/>
      <c r="N27" s="6"/>
      <c r="O27" s="6"/>
      <c r="P27" s="5">
        <f t="shared" si="10"/>
        <v>18</v>
      </c>
      <c r="Q27" s="23" t="s">
        <v>322</v>
      </c>
      <c r="R27" s="1">
        <v>34095</v>
      </c>
      <c r="S27" s="1">
        <v>11</v>
      </c>
      <c r="T27" s="59">
        <f t="shared" si="3"/>
        <v>0.11167008931641988</v>
      </c>
      <c r="U27" s="59">
        <f t="shared" si="4"/>
        <v>1.7454182451110885</v>
      </c>
      <c r="V27" s="3"/>
      <c r="W27" s="3"/>
      <c r="X27" s="3"/>
      <c r="Y27" s="3"/>
      <c r="Z27" s="3"/>
      <c r="AA27" s="3"/>
      <c r="AB27" s="3"/>
      <c r="AC27" s="3"/>
      <c r="AD27" s="3"/>
      <c r="AE27" s="6"/>
      <c r="AF27" s="6"/>
      <c r="AG27" s="7"/>
      <c r="AH27" s="7"/>
      <c r="AI27" s="7"/>
      <c r="AJ27" s="7"/>
    </row>
    <row r="28" spans="1:36">
      <c r="A28" s="6"/>
      <c r="B28" s="6"/>
      <c r="C28" s="7"/>
      <c r="D28" s="7"/>
      <c r="E28" s="7"/>
      <c r="F28" s="7"/>
      <c r="G28" s="6"/>
      <c r="H28" s="6"/>
      <c r="I28" s="6"/>
      <c r="J28" s="6"/>
      <c r="K28" s="6"/>
      <c r="L28" s="6"/>
      <c r="M28" s="6"/>
      <c r="N28" s="6"/>
      <c r="O28" s="6"/>
      <c r="P28" s="5">
        <f t="shared" si="10"/>
        <v>19</v>
      </c>
      <c r="Q28" s="23" t="s">
        <v>323</v>
      </c>
      <c r="R28" s="1">
        <v>20483</v>
      </c>
      <c r="S28" s="1">
        <v>8</v>
      </c>
      <c r="T28" s="59">
        <f t="shared" si="3"/>
        <v>6.7087210425816932E-2</v>
      </c>
      <c r="U28" s="59">
        <f t="shared" si="4"/>
        <v>1.0485819596600798</v>
      </c>
      <c r="V28" s="3"/>
      <c r="W28" s="3"/>
      <c r="X28" s="3"/>
      <c r="Y28" s="3"/>
      <c r="Z28" s="3"/>
      <c r="AA28" s="3"/>
      <c r="AB28" s="3"/>
      <c r="AC28" s="3"/>
      <c r="AD28" s="3"/>
      <c r="AE28" s="6"/>
      <c r="AF28" s="6"/>
      <c r="AG28" s="7"/>
      <c r="AH28" s="7"/>
      <c r="AI28" s="7"/>
      <c r="AJ28" s="7"/>
    </row>
    <row r="29" spans="1:36">
      <c r="A29" s="6"/>
      <c r="B29" s="6"/>
      <c r="C29" s="7"/>
      <c r="D29" s="7"/>
      <c r="E29" s="7"/>
      <c r="F29" s="7"/>
      <c r="G29" s="6"/>
      <c r="H29" s="6"/>
      <c r="I29" s="6"/>
      <c r="J29" s="6"/>
      <c r="K29" s="6"/>
      <c r="L29" s="6"/>
      <c r="M29" s="6"/>
      <c r="N29" s="6"/>
      <c r="O29" s="6"/>
      <c r="P29" s="5">
        <f t="shared" si="10"/>
        <v>20</v>
      </c>
      <c r="Q29" s="23" t="s">
        <v>324</v>
      </c>
      <c r="R29" s="1">
        <v>18690</v>
      </c>
      <c r="S29" s="1">
        <v>7</v>
      </c>
      <c r="T29" s="59">
        <f t="shared" si="3"/>
        <v>6.1214664007153176E-2</v>
      </c>
      <c r="U29" s="59">
        <f t="shared" si="4"/>
        <v>0.95679328350568238</v>
      </c>
      <c r="V29" s="3"/>
      <c r="W29" s="3"/>
      <c r="X29" s="3"/>
      <c r="Y29" s="3"/>
      <c r="Z29" s="3"/>
      <c r="AA29" s="3"/>
      <c r="AB29" s="3"/>
      <c r="AC29" s="3"/>
      <c r="AD29" s="3"/>
      <c r="AE29" s="6"/>
      <c r="AF29" s="6"/>
      <c r="AG29" s="7"/>
      <c r="AH29" s="7"/>
      <c r="AI29" s="7"/>
      <c r="AJ29" s="7"/>
    </row>
    <row r="30" spans="1:36">
      <c r="A30" s="6"/>
      <c r="B30" s="6"/>
      <c r="C30" s="7"/>
      <c r="D30" s="7"/>
      <c r="E30" s="7"/>
      <c r="F30" s="7"/>
      <c r="G30" s="6"/>
      <c r="H30" s="6"/>
      <c r="I30" s="6"/>
      <c r="J30" s="6"/>
      <c r="K30" s="6"/>
      <c r="L30" s="6"/>
      <c r="M30" s="6"/>
      <c r="N30" s="6"/>
      <c r="O30" s="6"/>
      <c r="P30" s="5">
        <f t="shared" si="10"/>
        <v>21</v>
      </c>
      <c r="Q30" s="23" t="s">
        <v>325</v>
      </c>
      <c r="R30" s="1">
        <v>24683</v>
      </c>
      <c r="S30" s="1">
        <v>9</v>
      </c>
      <c r="T30" s="59">
        <f t="shared" si="3"/>
        <v>8.0843314697087304E-2</v>
      </c>
      <c r="U30" s="59">
        <f t="shared" si="4"/>
        <v>1.2635916862905703</v>
      </c>
      <c r="V30" s="3"/>
      <c r="W30" s="3"/>
      <c r="X30" s="3"/>
      <c r="Y30" s="3"/>
      <c r="Z30" s="3"/>
      <c r="AA30" s="3"/>
      <c r="AB30" s="3"/>
      <c r="AC30" s="3"/>
      <c r="AD30" s="3"/>
      <c r="AE30" s="6"/>
      <c r="AF30" s="6"/>
      <c r="AG30" s="7"/>
      <c r="AH30" s="7"/>
      <c r="AI30" s="7"/>
      <c r="AJ30" s="7"/>
    </row>
    <row r="31" spans="1:36">
      <c r="D31" s="7"/>
      <c r="E31" s="7"/>
      <c r="F31" s="7"/>
      <c r="P31" s="5">
        <f t="shared" si="10"/>
        <v>22</v>
      </c>
      <c r="Q31" s="23" t="s">
        <v>326</v>
      </c>
      <c r="R31" s="1">
        <v>17624</v>
      </c>
      <c r="S31" s="1">
        <v>5</v>
      </c>
      <c r="T31" s="59">
        <f t="shared" si="3"/>
        <v>5.7723233732587885E-2</v>
      </c>
      <c r="U31" s="59">
        <f t="shared" si="4"/>
        <v>0.90222176717518177</v>
      </c>
      <c r="V31" s="3"/>
      <c r="W31" s="3"/>
      <c r="X31" s="3"/>
      <c r="Y31" s="3"/>
      <c r="Z31" s="3"/>
      <c r="AA31" s="3"/>
      <c r="AB31" s="3"/>
      <c r="AC31" s="3"/>
      <c r="AD31" s="3"/>
    </row>
    <row r="32" spans="1:36">
      <c r="D32" s="7"/>
      <c r="E32" s="7"/>
      <c r="F32" s="7"/>
      <c r="P32" s="5">
        <f t="shared" si="10"/>
        <v>23</v>
      </c>
      <c r="Q32" s="23" t="s">
        <v>327</v>
      </c>
      <c r="R32" s="1">
        <v>10364</v>
      </c>
      <c r="S32" s="1">
        <v>3</v>
      </c>
      <c r="T32" s="59">
        <f t="shared" si="3"/>
        <v>3.3944824920820516E-2</v>
      </c>
      <c r="U32" s="59">
        <f t="shared" si="4"/>
        <v>0.53056209685676259</v>
      </c>
      <c r="V32" s="3"/>
      <c r="W32" s="3"/>
      <c r="X32" s="3"/>
      <c r="Y32" s="3"/>
      <c r="Z32" s="3"/>
      <c r="AA32" s="3"/>
      <c r="AB32" s="3"/>
      <c r="AC32" s="3"/>
      <c r="AD32" s="3"/>
    </row>
    <row r="33" spans="16:30">
      <c r="P33" s="5">
        <f t="shared" si="10"/>
        <v>24</v>
      </c>
      <c r="Q33" s="23" t="s">
        <v>328</v>
      </c>
      <c r="R33" s="1">
        <v>0</v>
      </c>
      <c r="S33" s="1">
        <v>0</v>
      </c>
      <c r="T33" s="59">
        <f t="shared" si="3"/>
        <v>0</v>
      </c>
      <c r="U33" s="59">
        <f t="shared" si="4"/>
        <v>0</v>
      </c>
      <c r="V33" s="3"/>
      <c r="W33" s="3"/>
      <c r="X33" s="3"/>
      <c r="Y33" s="3"/>
      <c r="Z33" s="3"/>
      <c r="AA33" s="3"/>
      <c r="AB33" s="3"/>
      <c r="AC33" s="3"/>
      <c r="AD33" s="3"/>
    </row>
    <row r="34" spans="16:30"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6:30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6:30"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6:30"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6:30"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6:30"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6:30"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6:30"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6:30"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6:30"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6:30"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6:30"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6:30"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6:30"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6:30"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8:30"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8:30"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8:30"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8:30"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8:30"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8:30"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8:30"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8:30"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8:30"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8:30"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8:30"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8:30"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8:30"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8:30"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8:30"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8:30"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8:30"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8:30"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8:30"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8:30"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8:30"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8:30"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AF105"/>
  <sheetViews>
    <sheetView workbookViewId="0"/>
  </sheetViews>
  <sheetFormatPr defaultRowHeight="13.5"/>
  <cols>
    <col min="1" max="16384" width="9" style="6"/>
  </cols>
  <sheetData>
    <row r="2" spans="1:32">
      <c r="A2" s="6" t="s">
        <v>245</v>
      </c>
      <c r="X2" s="6" t="s">
        <v>257</v>
      </c>
    </row>
    <row r="4" spans="1:32" ht="14.25" thickBot="1">
      <c r="A4" s="6" t="s">
        <v>6</v>
      </c>
      <c r="G4" s="6" t="s">
        <v>258</v>
      </c>
    </row>
    <row r="5" spans="1:32">
      <c r="A5" s="29" t="s">
        <v>247</v>
      </c>
      <c r="B5" s="29"/>
      <c r="C5" s="29" t="s">
        <v>246</v>
      </c>
      <c r="D5" s="29"/>
      <c r="E5" s="29"/>
      <c r="F5" s="29"/>
      <c r="G5" s="31" t="s">
        <v>177</v>
      </c>
      <c r="H5" s="31"/>
      <c r="I5" s="31"/>
      <c r="J5" s="31"/>
      <c r="K5" s="31"/>
      <c r="L5" s="31"/>
      <c r="M5" s="31"/>
      <c r="N5" s="31" t="s">
        <v>81</v>
      </c>
      <c r="O5" s="31"/>
      <c r="P5" s="31"/>
      <c r="Q5" s="31"/>
      <c r="R5" s="31" t="s">
        <v>178</v>
      </c>
      <c r="S5" s="31"/>
      <c r="T5" s="31" t="s">
        <v>80</v>
      </c>
      <c r="U5" s="31"/>
      <c r="V5" s="31"/>
      <c r="X5" s="28" t="s">
        <v>183</v>
      </c>
      <c r="Y5" s="28"/>
      <c r="Z5"/>
      <c r="AA5"/>
      <c r="AB5"/>
      <c r="AC5"/>
      <c r="AD5"/>
      <c r="AE5"/>
      <c r="AF5"/>
    </row>
    <row r="6" spans="1:32">
      <c r="A6" s="29" t="s">
        <v>0</v>
      </c>
      <c r="B6" s="29" t="s">
        <v>1</v>
      </c>
      <c r="C6" s="29" t="s">
        <v>177</v>
      </c>
      <c r="D6" s="29" t="s">
        <v>81</v>
      </c>
      <c r="E6" s="29" t="s">
        <v>178</v>
      </c>
      <c r="F6" s="29" t="s">
        <v>80</v>
      </c>
      <c r="G6" s="31" t="s">
        <v>226</v>
      </c>
      <c r="H6" s="31" t="s">
        <v>228</v>
      </c>
      <c r="I6" s="31" t="s">
        <v>253</v>
      </c>
      <c r="J6" s="31" t="s">
        <v>232</v>
      </c>
      <c r="K6" s="31" t="s">
        <v>234</v>
      </c>
      <c r="L6" s="31" t="s">
        <v>236</v>
      </c>
      <c r="M6" s="31" t="s">
        <v>238</v>
      </c>
      <c r="N6" s="31" t="s">
        <v>248</v>
      </c>
      <c r="O6" s="31" t="s">
        <v>249</v>
      </c>
      <c r="P6" s="31" t="s">
        <v>250</v>
      </c>
      <c r="Q6" s="31" t="s">
        <v>251</v>
      </c>
      <c r="R6" s="31" t="s">
        <v>252</v>
      </c>
      <c r="S6" s="31" t="s">
        <v>254</v>
      </c>
      <c r="T6" s="31" t="s">
        <v>255</v>
      </c>
      <c r="U6" s="31" t="s">
        <v>40</v>
      </c>
      <c r="V6" s="31" t="s">
        <v>256</v>
      </c>
      <c r="X6" s="25" t="s">
        <v>184</v>
      </c>
      <c r="Y6" s="25">
        <v>0.6221847946258191</v>
      </c>
      <c r="Z6"/>
      <c r="AA6"/>
      <c r="AB6"/>
      <c r="AC6"/>
      <c r="AD6"/>
      <c r="AE6"/>
      <c r="AF6"/>
    </row>
    <row r="7" spans="1:32">
      <c r="A7" s="13">
        <v>4906</v>
      </c>
      <c r="B7" s="7">
        <v>10</v>
      </c>
      <c r="C7" s="6" t="s">
        <v>237</v>
      </c>
      <c r="D7" s="6">
        <v>17</v>
      </c>
      <c r="E7" s="6" t="s">
        <v>49</v>
      </c>
      <c r="F7" s="6" t="s">
        <v>60</v>
      </c>
      <c r="G7" s="6">
        <f>IF($C7="札幌", 1, 0)</f>
        <v>0</v>
      </c>
      <c r="H7" s="6">
        <f>IF($C7="仙台", 1, 0)</f>
        <v>0</v>
      </c>
      <c r="I7" s="6">
        <f>IF(OR($C7="新宿", $C7="銀座"), 1, 0)</f>
        <v>0</v>
      </c>
      <c r="J7" s="6">
        <f>IF($C7="梅田", 1, 0)</f>
        <v>0</v>
      </c>
      <c r="K7" s="6">
        <f>IF($C7="神戸", 1, 0)</f>
        <v>0</v>
      </c>
      <c r="L7" s="6">
        <f>IF($C7="広島", 1, 0)</f>
        <v>0</v>
      </c>
      <c r="M7" s="6">
        <f>IF($C7="福岡", 1, 0)</f>
        <v>1</v>
      </c>
      <c r="N7" s="6">
        <f>IF(OR($D7=10, $D7=11, $D7=12), 1, 0)</f>
        <v>0</v>
      </c>
      <c r="O7" s="6">
        <f>IF(OR($D7=13, $D7=14, $D7=15), 1, 0)</f>
        <v>0</v>
      </c>
      <c r="P7" s="6">
        <f>IF(OR($D7=16, $D7=17, $D7=18), 1, 0)</f>
        <v>1</v>
      </c>
      <c r="Q7" s="6">
        <f>IF(OR($D7=19, $D7=20, $D7=21, $D7=22), 1, 0)</f>
        <v>0</v>
      </c>
      <c r="R7" s="6">
        <f>IF(OR($E7="日", $E7="土"), 1, 0)</f>
        <v>0</v>
      </c>
      <c r="S7" s="6">
        <f>IF(OR($E7="月", $E7="火", $E7="水", $E7="木", $E7="金"), 1, 0)</f>
        <v>1</v>
      </c>
      <c r="T7" s="6">
        <f>IF(OR($F7="快晴", $F7="晴れ"), 1, 0)</f>
        <v>0</v>
      </c>
      <c r="U7" s="6">
        <f>IF($F7="曇り", 1, 0)</f>
        <v>0</v>
      </c>
      <c r="V7" s="6">
        <f>IF(OR($F7="小雨", $F7="大雨"), 1, 0)</f>
        <v>1</v>
      </c>
      <c r="X7" s="25" t="s">
        <v>185</v>
      </c>
      <c r="Y7" s="25">
        <v>0.38711391866357275</v>
      </c>
      <c r="Z7"/>
      <c r="AA7"/>
      <c r="AB7"/>
      <c r="AC7"/>
      <c r="AD7"/>
      <c r="AE7"/>
      <c r="AF7"/>
    </row>
    <row r="8" spans="1:32">
      <c r="A8" s="13">
        <v>18700</v>
      </c>
      <c r="B8" s="7">
        <v>10</v>
      </c>
      <c r="C8" s="6" t="s">
        <v>229</v>
      </c>
      <c r="D8" s="6">
        <v>20</v>
      </c>
      <c r="E8" s="6" t="s">
        <v>47</v>
      </c>
      <c r="F8" s="6" t="s">
        <v>58</v>
      </c>
      <c r="G8" s="6">
        <f t="shared" ref="G8:G71" si="0">IF($C8="札幌", 1, 0)</f>
        <v>0</v>
      </c>
      <c r="H8" s="6">
        <f t="shared" ref="H8:H71" si="1">IF($C8="仙台", 1, 0)</f>
        <v>0</v>
      </c>
      <c r="I8" s="6">
        <f t="shared" ref="I8:I71" si="2">IF(OR($C8="新宿", $C8="銀座"), 1, 0)</f>
        <v>1</v>
      </c>
      <c r="J8" s="6">
        <f t="shared" ref="J8:J71" si="3">IF($C8="梅田", 1, 0)</f>
        <v>0</v>
      </c>
      <c r="K8" s="6">
        <f t="shared" ref="K8:K71" si="4">IF($C8="神戸", 1, 0)</f>
        <v>0</v>
      </c>
      <c r="L8" s="6">
        <f t="shared" ref="L8:L71" si="5">IF($C8="広島", 1, 0)</f>
        <v>0</v>
      </c>
      <c r="M8" s="6">
        <f t="shared" ref="M8:M71" si="6">IF($C8="福岡", 1, 0)</f>
        <v>0</v>
      </c>
      <c r="N8" s="6">
        <f t="shared" ref="N8:N71" si="7">IF(OR($D8=10, $D8=11, $D8=12), 1, 0)</f>
        <v>0</v>
      </c>
      <c r="O8" s="6">
        <f t="shared" ref="O8:O71" si="8">IF(OR($D8=13, $D8=14, $D8=15), 1, 0)</f>
        <v>0</v>
      </c>
      <c r="P8" s="6">
        <f t="shared" ref="P8:P71" si="9">IF(OR($D8=16, $D8=17, $D8=18), 1, 0)</f>
        <v>0</v>
      </c>
      <c r="Q8" s="6">
        <f t="shared" ref="Q8:Q71" si="10">IF(OR($D8=19, $D8=20, $D8=21, $D8=22), 1, 0)</f>
        <v>1</v>
      </c>
      <c r="R8" s="6">
        <f t="shared" ref="R8:R71" si="11">IF(OR($E8="日", $E8="土"), 1, 0)</f>
        <v>0</v>
      </c>
      <c r="S8" s="6">
        <f t="shared" ref="S8:S71" si="12">IF(OR($E8="月", $E8="火", $E8="水", $E8="木", $E8="金"), 1, 0)</f>
        <v>1</v>
      </c>
      <c r="T8" s="6">
        <f t="shared" ref="T8:T71" si="13">IF(OR($F8="快晴", $F8="晴れ"), 1, 0)</f>
        <v>0</v>
      </c>
      <c r="U8" s="6">
        <f t="shared" ref="U8:U71" si="14">IF($F8="曇り", 1, 0)</f>
        <v>0</v>
      </c>
      <c r="V8" s="6">
        <f t="shared" ref="V8:V71" si="15">IF(OR($F8="小雨", $F8="大雨"), 1, 0)</f>
        <v>1</v>
      </c>
      <c r="X8" s="25" t="s">
        <v>186</v>
      </c>
      <c r="Y8" s="25">
        <v>0.25508330266314105</v>
      </c>
      <c r="Z8"/>
      <c r="AA8"/>
      <c r="AB8"/>
      <c r="AC8"/>
      <c r="AD8"/>
      <c r="AE8"/>
      <c r="AF8"/>
    </row>
    <row r="9" spans="1:32">
      <c r="A9" s="13">
        <v>6801</v>
      </c>
      <c r="B9" s="7">
        <v>6</v>
      </c>
      <c r="C9" s="6" t="s">
        <v>225</v>
      </c>
      <c r="D9" s="6">
        <v>20</v>
      </c>
      <c r="E9" s="6" t="s">
        <v>53</v>
      </c>
      <c r="F9" s="6" t="s">
        <v>60</v>
      </c>
      <c r="G9" s="6">
        <f t="shared" si="0"/>
        <v>1</v>
      </c>
      <c r="H9" s="6">
        <f t="shared" si="1"/>
        <v>0</v>
      </c>
      <c r="I9" s="6">
        <f t="shared" si="2"/>
        <v>0</v>
      </c>
      <c r="J9" s="6">
        <f t="shared" si="3"/>
        <v>0</v>
      </c>
      <c r="K9" s="6">
        <f t="shared" si="4"/>
        <v>0</v>
      </c>
      <c r="L9" s="6">
        <f t="shared" si="5"/>
        <v>0</v>
      </c>
      <c r="M9" s="6">
        <f t="shared" si="6"/>
        <v>0</v>
      </c>
      <c r="N9" s="6">
        <f t="shared" si="7"/>
        <v>0</v>
      </c>
      <c r="O9" s="6">
        <f t="shared" si="8"/>
        <v>0</v>
      </c>
      <c r="P9" s="6">
        <f t="shared" si="9"/>
        <v>0</v>
      </c>
      <c r="Q9" s="6">
        <f t="shared" si="10"/>
        <v>1</v>
      </c>
      <c r="R9" s="6">
        <f t="shared" si="11"/>
        <v>1</v>
      </c>
      <c r="S9" s="6">
        <f t="shared" si="12"/>
        <v>0</v>
      </c>
      <c r="T9" s="6">
        <f t="shared" si="13"/>
        <v>0</v>
      </c>
      <c r="U9" s="6">
        <f t="shared" si="14"/>
        <v>0</v>
      </c>
      <c r="V9" s="6">
        <f t="shared" si="15"/>
        <v>1</v>
      </c>
      <c r="X9" s="25" t="s">
        <v>187</v>
      </c>
      <c r="Y9" s="25">
        <v>8057.9833119195437</v>
      </c>
      <c r="Z9"/>
      <c r="AA9"/>
      <c r="AB9"/>
      <c r="AC9"/>
      <c r="AD9"/>
      <c r="AE9"/>
      <c r="AF9"/>
    </row>
    <row r="10" spans="1:32" ht="14.25" thickBot="1">
      <c r="A10" s="13">
        <v>15961</v>
      </c>
      <c r="B10" s="7">
        <v>3</v>
      </c>
      <c r="C10" s="6" t="s">
        <v>227</v>
      </c>
      <c r="D10" s="6">
        <v>22</v>
      </c>
      <c r="E10" s="6" t="s">
        <v>42</v>
      </c>
      <c r="F10" s="6" t="s">
        <v>58</v>
      </c>
      <c r="G10" s="6">
        <f t="shared" si="0"/>
        <v>0</v>
      </c>
      <c r="H10" s="6">
        <f t="shared" si="1"/>
        <v>1</v>
      </c>
      <c r="I10" s="6">
        <f t="shared" si="2"/>
        <v>0</v>
      </c>
      <c r="J10" s="6">
        <f t="shared" si="3"/>
        <v>0</v>
      </c>
      <c r="K10" s="6">
        <f t="shared" si="4"/>
        <v>0</v>
      </c>
      <c r="L10" s="6">
        <f t="shared" si="5"/>
        <v>0</v>
      </c>
      <c r="M10" s="6">
        <f t="shared" si="6"/>
        <v>0</v>
      </c>
      <c r="N10" s="6">
        <f t="shared" si="7"/>
        <v>0</v>
      </c>
      <c r="O10" s="6">
        <f t="shared" si="8"/>
        <v>0</v>
      </c>
      <c r="P10" s="6">
        <f t="shared" si="9"/>
        <v>0</v>
      </c>
      <c r="Q10" s="6">
        <f t="shared" si="10"/>
        <v>1</v>
      </c>
      <c r="R10" s="6">
        <f t="shared" si="11"/>
        <v>1</v>
      </c>
      <c r="S10" s="6">
        <f t="shared" si="12"/>
        <v>0</v>
      </c>
      <c r="T10" s="6">
        <f t="shared" si="13"/>
        <v>0</v>
      </c>
      <c r="U10" s="6">
        <f t="shared" si="14"/>
        <v>0</v>
      </c>
      <c r="V10" s="6">
        <f t="shared" si="15"/>
        <v>1</v>
      </c>
      <c r="X10" s="26" t="s">
        <v>188</v>
      </c>
      <c r="Y10" s="26">
        <v>99</v>
      </c>
      <c r="Z10"/>
      <c r="AA10"/>
      <c r="AB10"/>
      <c r="AC10"/>
      <c r="AD10"/>
      <c r="AE10"/>
      <c r="AF10"/>
    </row>
    <row r="11" spans="1:32">
      <c r="A11" s="13">
        <v>20050</v>
      </c>
      <c r="B11" s="7">
        <v>14</v>
      </c>
      <c r="C11" s="6" t="s">
        <v>227</v>
      </c>
      <c r="D11" s="6">
        <v>18</v>
      </c>
      <c r="E11" s="6" t="s">
        <v>45</v>
      </c>
      <c r="F11" s="6" t="s">
        <v>58</v>
      </c>
      <c r="G11" s="6">
        <f t="shared" si="0"/>
        <v>0</v>
      </c>
      <c r="H11" s="6">
        <f t="shared" si="1"/>
        <v>1</v>
      </c>
      <c r="I11" s="6">
        <f t="shared" si="2"/>
        <v>0</v>
      </c>
      <c r="J11" s="6">
        <f t="shared" si="3"/>
        <v>0</v>
      </c>
      <c r="K11" s="6">
        <f t="shared" si="4"/>
        <v>0</v>
      </c>
      <c r="L11" s="6">
        <f t="shared" si="5"/>
        <v>0</v>
      </c>
      <c r="M11" s="6">
        <f t="shared" si="6"/>
        <v>0</v>
      </c>
      <c r="N11" s="6">
        <f t="shared" si="7"/>
        <v>0</v>
      </c>
      <c r="O11" s="6">
        <f t="shared" si="8"/>
        <v>0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6">
        <f t="shared" si="12"/>
        <v>1</v>
      </c>
      <c r="T11" s="6">
        <f t="shared" si="13"/>
        <v>0</v>
      </c>
      <c r="U11" s="6">
        <f t="shared" si="14"/>
        <v>0</v>
      </c>
      <c r="V11" s="6">
        <f t="shared" si="15"/>
        <v>1</v>
      </c>
      <c r="X11"/>
      <c r="Y11"/>
      <c r="Z11"/>
      <c r="AA11"/>
      <c r="AB11"/>
      <c r="AC11"/>
      <c r="AD11"/>
      <c r="AE11"/>
      <c r="AF11"/>
    </row>
    <row r="12" spans="1:32" ht="14.25" thickBot="1">
      <c r="A12" s="13">
        <v>19635</v>
      </c>
      <c r="B12" s="7">
        <v>6</v>
      </c>
      <c r="C12" s="6" t="s">
        <v>225</v>
      </c>
      <c r="D12" s="6">
        <v>12</v>
      </c>
      <c r="E12" s="6" t="s">
        <v>47</v>
      </c>
      <c r="F12" s="6" t="s">
        <v>58</v>
      </c>
      <c r="G12" s="6">
        <f t="shared" si="0"/>
        <v>1</v>
      </c>
      <c r="H12" s="6">
        <f t="shared" si="1"/>
        <v>0</v>
      </c>
      <c r="I12" s="6">
        <f t="shared" si="2"/>
        <v>0</v>
      </c>
      <c r="J12" s="6">
        <f t="shared" si="3"/>
        <v>0</v>
      </c>
      <c r="K12" s="6">
        <f t="shared" si="4"/>
        <v>0</v>
      </c>
      <c r="L12" s="6">
        <f t="shared" si="5"/>
        <v>0</v>
      </c>
      <c r="M12" s="6">
        <f t="shared" si="6"/>
        <v>0</v>
      </c>
      <c r="N12" s="6">
        <f t="shared" si="7"/>
        <v>1</v>
      </c>
      <c r="O12" s="6">
        <f t="shared" si="8"/>
        <v>0</v>
      </c>
      <c r="P12" s="6">
        <f t="shared" si="9"/>
        <v>0</v>
      </c>
      <c r="Q12" s="6">
        <f t="shared" si="10"/>
        <v>0</v>
      </c>
      <c r="R12" s="6">
        <f t="shared" si="11"/>
        <v>0</v>
      </c>
      <c r="S12" s="6">
        <f t="shared" si="12"/>
        <v>1</v>
      </c>
      <c r="T12" s="6">
        <f t="shared" si="13"/>
        <v>0</v>
      </c>
      <c r="U12" s="6">
        <f t="shared" si="14"/>
        <v>0</v>
      </c>
      <c r="V12" s="6">
        <f t="shared" si="15"/>
        <v>1</v>
      </c>
      <c r="X12" t="s">
        <v>189</v>
      </c>
      <c r="Y12"/>
      <c r="Z12"/>
      <c r="AA12"/>
      <c r="AB12"/>
      <c r="AC12"/>
      <c r="AD12"/>
      <c r="AE12"/>
      <c r="AF12"/>
    </row>
    <row r="13" spans="1:32">
      <c r="A13" s="13">
        <v>30117</v>
      </c>
      <c r="B13" s="7">
        <v>5</v>
      </c>
      <c r="C13" s="6" t="s">
        <v>231</v>
      </c>
      <c r="D13" s="6">
        <v>20</v>
      </c>
      <c r="E13" s="6" t="s">
        <v>53</v>
      </c>
      <c r="F13" s="6" t="s">
        <v>35</v>
      </c>
      <c r="G13" s="6">
        <f t="shared" si="0"/>
        <v>0</v>
      </c>
      <c r="H13" s="6">
        <f t="shared" si="1"/>
        <v>0</v>
      </c>
      <c r="I13" s="6">
        <f t="shared" si="2"/>
        <v>0</v>
      </c>
      <c r="J13" s="6">
        <f t="shared" si="3"/>
        <v>1</v>
      </c>
      <c r="K13" s="6">
        <f t="shared" si="4"/>
        <v>0</v>
      </c>
      <c r="L13" s="6">
        <f t="shared" si="5"/>
        <v>0</v>
      </c>
      <c r="M13" s="6">
        <f t="shared" si="6"/>
        <v>0</v>
      </c>
      <c r="N13" s="6">
        <f t="shared" si="7"/>
        <v>0</v>
      </c>
      <c r="O13" s="6">
        <f t="shared" si="8"/>
        <v>0</v>
      </c>
      <c r="P13" s="6">
        <f t="shared" si="9"/>
        <v>0</v>
      </c>
      <c r="Q13" s="6">
        <f t="shared" si="10"/>
        <v>1</v>
      </c>
      <c r="R13" s="6">
        <f t="shared" si="11"/>
        <v>1</v>
      </c>
      <c r="S13" s="6">
        <f t="shared" si="12"/>
        <v>0</v>
      </c>
      <c r="T13" s="6">
        <f t="shared" si="13"/>
        <v>1</v>
      </c>
      <c r="U13" s="6">
        <f t="shared" si="14"/>
        <v>0</v>
      </c>
      <c r="V13" s="6">
        <f t="shared" si="15"/>
        <v>0</v>
      </c>
      <c r="X13" s="27"/>
      <c r="Y13" s="27" t="s">
        <v>102</v>
      </c>
      <c r="Z13" s="27" t="s">
        <v>191</v>
      </c>
      <c r="AA13" s="27" t="s">
        <v>192</v>
      </c>
      <c r="AB13" s="27" t="s">
        <v>193</v>
      </c>
      <c r="AC13" s="27" t="s">
        <v>194</v>
      </c>
      <c r="AD13"/>
      <c r="AE13"/>
      <c r="AF13"/>
    </row>
    <row r="14" spans="1:32">
      <c r="A14" s="13">
        <v>20348</v>
      </c>
      <c r="B14" s="7">
        <v>6</v>
      </c>
      <c r="C14" s="6" t="s">
        <v>235</v>
      </c>
      <c r="D14" s="6">
        <v>12</v>
      </c>
      <c r="E14" s="6" t="s">
        <v>42</v>
      </c>
      <c r="F14" s="6" t="s">
        <v>58</v>
      </c>
      <c r="G14" s="6">
        <f t="shared" si="0"/>
        <v>0</v>
      </c>
      <c r="H14" s="6">
        <f t="shared" si="1"/>
        <v>0</v>
      </c>
      <c r="I14" s="6">
        <f t="shared" si="2"/>
        <v>0</v>
      </c>
      <c r="J14" s="6">
        <f t="shared" si="3"/>
        <v>0</v>
      </c>
      <c r="K14" s="6">
        <f t="shared" si="4"/>
        <v>0</v>
      </c>
      <c r="L14" s="6">
        <f t="shared" si="5"/>
        <v>1</v>
      </c>
      <c r="M14" s="6">
        <f t="shared" si="6"/>
        <v>0</v>
      </c>
      <c r="N14" s="6">
        <f t="shared" si="7"/>
        <v>1</v>
      </c>
      <c r="O14" s="6">
        <f t="shared" si="8"/>
        <v>0</v>
      </c>
      <c r="P14" s="6">
        <f t="shared" si="9"/>
        <v>0</v>
      </c>
      <c r="Q14" s="6">
        <f t="shared" si="10"/>
        <v>0</v>
      </c>
      <c r="R14" s="6">
        <f t="shared" si="11"/>
        <v>1</v>
      </c>
      <c r="S14" s="6">
        <f t="shared" si="12"/>
        <v>0</v>
      </c>
      <c r="T14" s="6">
        <f t="shared" si="13"/>
        <v>0</v>
      </c>
      <c r="U14" s="6">
        <f t="shared" si="14"/>
        <v>0</v>
      </c>
      <c r="V14" s="6">
        <f t="shared" si="15"/>
        <v>1</v>
      </c>
      <c r="X14" s="25" t="s">
        <v>82</v>
      </c>
      <c r="Y14" s="25">
        <v>16</v>
      </c>
      <c r="Z14" s="25">
        <v>3527038550.4267673</v>
      </c>
      <c r="AA14" s="25">
        <v>220439909.40167296</v>
      </c>
      <c r="AB14" s="25">
        <v>4.5266428812339958</v>
      </c>
      <c r="AC14" s="25">
        <v>2.406649320417025E-6</v>
      </c>
      <c r="AD14"/>
      <c r="AE14"/>
      <c r="AF14"/>
    </row>
    <row r="15" spans="1:32">
      <c r="A15" s="13">
        <v>4299</v>
      </c>
      <c r="B15" s="7">
        <v>15</v>
      </c>
      <c r="C15" s="6" t="s">
        <v>237</v>
      </c>
      <c r="D15" s="6">
        <v>12</v>
      </c>
      <c r="E15" s="6" t="s">
        <v>18</v>
      </c>
      <c r="F15" s="6" t="s">
        <v>60</v>
      </c>
      <c r="G15" s="6">
        <f t="shared" si="0"/>
        <v>0</v>
      </c>
      <c r="H15" s="6">
        <f t="shared" si="1"/>
        <v>0</v>
      </c>
      <c r="I15" s="6">
        <f t="shared" si="2"/>
        <v>0</v>
      </c>
      <c r="J15" s="6">
        <f t="shared" si="3"/>
        <v>0</v>
      </c>
      <c r="K15" s="6">
        <f t="shared" si="4"/>
        <v>0</v>
      </c>
      <c r="L15" s="6">
        <f t="shared" si="5"/>
        <v>0</v>
      </c>
      <c r="M15" s="6">
        <f t="shared" si="6"/>
        <v>1</v>
      </c>
      <c r="N15" s="6">
        <f t="shared" si="7"/>
        <v>1</v>
      </c>
      <c r="O15" s="6">
        <f t="shared" si="8"/>
        <v>0</v>
      </c>
      <c r="P15" s="6">
        <f t="shared" si="9"/>
        <v>0</v>
      </c>
      <c r="Q15" s="6">
        <f t="shared" si="10"/>
        <v>0</v>
      </c>
      <c r="R15" s="6">
        <f t="shared" si="11"/>
        <v>0</v>
      </c>
      <c r="S15" s="6">
        <f t="shared" si="12"/>
        <v>1</v>
      </c>
      <c r="T15" s="6">
        <f t="shared" si="13"/>
        <v>0</v>
      </c>
      <c r="U15" s="6">
        <f t="shared" si="14"/>
        <v>0</v>
      </c>
      <c r="V15" s="6">
        <f t="shared" si="15"/>
        <v>1</v>
      </c>
      <c r="X15" s="25" t="s">
        <v>88</v>
      </c>
      <c r="Y15" s="25">
        <v>86</v>
      </c>
      <c r="Z15" s="25">
        <v>5584074174.7449512</v>
      </c>
      <c r="AA15" s="25">
        <v>64931095.055173852</v>
      </c>
      <c r="AB15" s="25"/>
      <c r="AC15" s="25"/>
      <c r="AD15"/>
      <c r="AE15"/>
      <c r="AF15"/>
    </row>
    <row r="16" spans="1:32" ht="14.25" thickBot="1">
      <c r="A16" s="13">
        <v>10728</v>
      </c>
      <c r="B16" s="7">
        <v>9</v>
      </c>
      <c r="C16" s="6" t="s">
        <v>229</v>
      </c>
      <c r="D16" s="6">
        <v>14</v>
      </c>
      <c r="E16" s="6" t="s">
        <v>47</v>
      </c>
      <c r="F16" s="6" t="s">
        <v>58</v>
      </c>
      <c r="G16" s="6">
        <f t="shared" si="0"/>
        <v>0</v>
      </c>
      <c r="H16" s="6">
        <f t="shared" si="1"/>
        <v>0</v>
      </c>
      <c r="I16" s="6">
        <f t="shared" si="2"/>
        <v>1</v>
      </c>
      <c r="J16" s="6">
        <f t="shared" si="3"/>
        <v>0</v>
      </c>
      <c r="K16" s="6">
        <f t="shared" si="4"/>
        <v>0</v>
      </c>
      <c r="L16" s="6">
        <f t="shared" si="5"/>
        <v>0</v>
      </c>
      <c r="M16" s="6">
        <f t="shared" si="6"/>
        <v>0</v>
      </c>
      <c r="N16" s="6">
        <f t="shared" si="7"/>
        <v>0</v>
      </c>
      <c r="O16" s="6">
        <f t="shared" si="8"/>
        <v>1</v>
      </c>
      <c r="P16" s="6">
        <f t="shared" si="9"/>
        <v>0</v>
      </c>
      <c r="Q16" s="6">
        <f t="shared" si="10"/>
        <v>0</v>
      </c>
      <c r="R16" s="6">
        <f t="shared" si="11"/>
        <v>0</v>
      </c>
      <c r="S16" s="6">
        <f t="shared" si="12"/>
        <v>1</v>
      </c>
      <c r="T16" s="6">
        <f t="shared" si="13"/>
        <v>0</v>
      </c>
      <c r="U16" s="6">
        <f t="shared" si="14"/>
        <v>0</v>
      </c>
      <c r="V16" s="6">
        <f t="shared" si="15"/>
        <v>1</v>
      </c>
      <c r="X16" s="26" t="s">
        <v>190</v>
      </c>
      <c r="Y16" s="26">
        <v>102</v>
      </c>
      <c r="Z16" s="26">
        <v>9111112725.1717186</v>
      </c>
      <c r="AA16" s="26"/>
      <c r="AB16" s="26"/>
      <c r="AC16" s="26"/>
      <c r="AD16"/>
      <c r="AE16"/>
      <c r="AF16"/>
    </row>
    <row r="17" spans="1:32" ht="14.25" thickBot="1">
      <c r="A17" s="13">
        <v>8163</v>
      </c>
      <c r="B17" s="7">
        <v>4</v>
      </c>
      <c r="C17" s="6" t="s">
        <v>225</v>
      </c>
      <c r="D17" s="6">
        <v>15</v>
      </c>
      <c r="E17" s="6" t="s">
        <v>45</v>
      </c>
      <c r="F17" s="6" t="s">
        <v>39</v>
      </c>
      <c r="G17" s="6">
        <f t="shared" si="0"/>
        <v>1</v>
      </c>
      <c r="H17" s="6">
        <f t="shared" si="1"/>
        <v>0</v>
      </c>
      <c r="I17" s="6">
        <f t="shared" si="2"/>
        <v>0</v>
      </c>
      <c r="J17" s="6">
        <f t="shared" si="3"/>
        <v>0</v>
      </c>
      <c r="K17" s="6">
        <f t="shared" si="4"/>
        <v>0</v>
      </c>
      <c r="L17" s="6">
        <f t="shared" si="5"/>
        <v>0</v>
      </c>
      <c r="M17" s="6">
        <f t="shared" si="6"/>
        <v>0</v>
      </c>
      <c r="N17" s="6">
        <f t="shared" si="7"/>
        <v>0</v>
      </c>
      <c r="O17" s="6">
        <f t="shared" si="8"/>
        <v>1</v>
      </c>
      <c r="P17" s="6">
        <f t="shared" si="9"/>
        <v>0</v>
      </c>
      <c r="Q17" s="6">
        <f t="shared" si="10"/>
        <v>0</v>
      </c>
      <c r="R17" s="6">
        <f t="shared" si="11"/>
        <v>0</v>
      </c>
      <c r="S17" s="6">
        <f t="shared" si="12"/>
        <v>1</v>
      </c>
      <c r="T17" s="6">
        <f t="shared" si="13"/>
        <v>0</v>
      </c>
      <c r="U17" s="6">
        <f t="shared" si="14"/>
        <v>1</v>
      </c>
      <c r="V17" s="6">
        <f t="shared" si="15"/>
        <v>0</v>
      </c>
      <c r="X17"/>
      <c r="Y17"/>
      <c r="Z17"/>
      <c r="AA17"/>
      <c r="AB17"/>
      <c r="AC17"/>
      <c r="AD17"/>
      <c r="AE17"/>
      <c r="AF17"/>
    </row>
    <row r="18" spans="1:32">
      <c r="A18" s="13">
        <v>37893</v>
      </c>
      <c r="B18" s="7">
        <v>6</v>
      </c>
      <c r="C18" s="6" t="s">
        <v>230</v>
      </c>
      <c r="D18" s="6">
        <v>17</v>
      </c>
      <c r="E18" s="6" t="s">
        <v>42</v>
      </c>
      <c r="F18" s="6" t="s">
        <v>39</v>
      </c>
      <c r="G18" s="6">
        <f t="shared" si="0"/>
        <v>0</v>
      </c>
      <c r="H18" s="6">
        <f t="shared" si="1"/>
        <v>0</v>
      </c>
      <c r="I18" s="6">
        <f t="shared" si="2"/>
        <v>1</v>
      </c>
      <c r="J18" s="6">
        <f t="shared" si="3"/>
        <v>0</v>
      </c>
      <c r="K18" s="6">
        <f t="shared" si="4"/>
        <v>0</v>
      </c>
      <c r="L18" s="6">
        <f t="shared" si="5"/>
        <v>0</v>
      </c>
      <c r="M18" s="6">
        <f t="shared" si="6"/>
        <v>0</v>
      </c>
      <c r="N18" s="6">
        <f t="shared" si="7"/>
        <v>0</v>
      </c>
      <c r="O18" s="6">
        <f t="shared" si="8"/>
        <v>0</v>
      </c>
      <c r="P18" s="6">
        <f t="shared" si="9"/>
        <v>1</v>
      </c>
      <c r="Q18" s="6">
        <f t="shared" si="10"/>
        <v>0</v>
      </c>
      <c r="R18" s="6">
        <f t="shared" si="11"/>
        <v>1</v>
      </c>
      <c r="S18" s="6">
        <f t="shared" si="12"/>
        <v>0</v>
      </c>
      <c r="T18" s="6">
        <f t="shared" si="13"/>
        <v>0</v>
      </c>
      <c r="U18" s="6">
        <f t="shared" si="14"/>
        <v>1</v>
      </c>
      <c r="V18" s="6">
        <f t="shared" si="15"/>
        <v>0</v>
      </c>
      <c r="X18" s="27"/>
      <c r="Y18" s="27" t="s">
        <v>195</v>
      </c>
      <c r="Z18" s="27" t="s">
        <v>187</v>
      </c>
      <c r="AA18" s="27" t="s">
        <v>196</v>
      </c>
      <c r="AB18" s="27" t="s">
        <v>197</v>
      </c>
      <c r="AC18" s="27" t="s">
        <v>198</v>
      </c>
      <c r="AD18" s="27" t="s">
        <v>199</v>
      </c>
      <c r="AE18" s="27" t="s">
        <v>200</v>
      </c>
      <c r="AF18" s="27" t="s">
        <v>201</v>
      </c>
    </row>
    <row r="19" spans="1:32">
      <c r="A19" s="13">
        <v>11482</v>
      </c>
      <c r="B19" s="7">
        <v>6</v>
      </c>
      <c r="C19" s="6" t="s">
        <v>229</v>
      </c>
      <c r="D19" s="6">
        <v>13</v>
      </c>
      <c r="E19" s="6" t="s">
        <v>47</v>
      </c>
      <c r="F19" s="6" t="s">
        <v>60</v>
      </c>
      <c r="G19" s="6">
        <f t="shared" si="0"/>
        <v>0</v>
      </c>
      <c r="H19" s="6">
        <f t="shared" si="1"/>
        <v>0</v>
      </c>
      <c r="I19" s="6">
        <f t="shared" si="2"/>
        <v>1</v>
      </c>
      <c r="J19" s="6">
        <f t="shared" si="3"/>
        <v>0</v>
      </c>
      <c r="K19" s="6">
        <f t="shared" si="4"/>
        <v>0</v>
      </c>
      <c r="L19" s="6">
        <f t="shared" si="5"/>
        <v>0</v>
      </c>
      <c r="M19" s="6">
        <f t="shared" si="6"/>
        <v>0</v>
      </c>
      <c r="N19" s="6">
        <f t="shared" si="7"/>
        <v>0</v>
      </c>
      <c r="O19" s="6">
        <f t="shared" si="8"/>
        <v>1</v>
      </c>
      <c r="P19" s="6">
        <f t="shared" si="9"/>
        <v>0</v>
      </c>
      <c r="Q19" s="6">
        <f t="shared" si="10"/>
        <v>0</v>
      </c>
      <c r="R19" s="6">
        <f t="shared" si="11"/>
        <v>0</v>
      </c>
      <c r="S19" s="6">
        <f t="shared" si="12"/>
        <v>1</v>
      </c>
      <c r="T19" s="6">
        <f t="shared" si="13"/>
        <v>0</v>
      </c>
      <c r="U19" s="6">
        <f t="shared" si="14"/>
        <v>0</v>
      </c>
      <c r="V19" s="6">
        <f t="shared" si="15"/>
        <v>1</v>
      </c>
      <c r="X19" s="25" t="s">
        <v>83</v>
      </c>
      <c r="Y19" s="25">
        <v>23060.407141776617</v>
      </c>
      <c r="Z19" s="25">
        <v>3722.0450814382816</v>
      </c>
      <c r="AA19" s="25">
        <v>6.195628112291848</v>
      </c>
      <c r="AB19" s="25">
        <v>1.9345231488898457E-8</v>
      </c>
      <c r="AC19" s="25">
        <v>15661.226555819936</v>
      </c>
      <c r="AD19" s="25">
        <v>30459.587727733298</v>
      </c>
      <c r="AE19" s="25">
        <v>15661.226555819936</v>
      </c>
      <c r="AF19" s="25">
        <v>30459.587727733298</v>
      </c>
    </row>
    <row r="20" spans="1:32">
      <c r="A20" s="13">
        <v>18033</v>
      </c>
      <c r="B20" s="7">
        <v>12</v>
      </c>
      <c r="C20" s="6" t="s">
        <v>237</v>
      </c>
      <c r="D20" s="6">
        <v>12</v>
      </c>
      <c r="E20" s="6" t="s">
        <v>18</v>
      </c>
      <c r="F20" s="6" t="s">
        <v>35</v>
      </c>
      <c r="G20" s="6">
        <f t="shared" si="0"/>
        <v>0</v>
      </c>
      <c r="H20" s="6">
        <f t="shared" si="1"/>
        <v>0</v>
      </c>
      <c r="I20" s="6">
        <f t="shared" si="2"/>
        <v>0</v>
      </c>
      <c r="J20" s="6">
        <f t="shared" si="3"/>
        <v>0</v>
      </c>
      <c r="K20" s="6">
        <f t="shared" si="4"/>
        <v>0</v>
      </c>
      <c r="L20" s="6">
        <f t="shared" si="5"/>
        <v>0</v>
      </c>
      <c r="M20" s="6">
        <f t="shared" si="6"/>
        <v>1</v>
      </c>
      <c r="N20" s="6">
        <f t="shared" si="7"/>
        <v>1</v>
      </c>
      <c r="O20" s="6">
        <f t="shared" si="8"/>
        <v>0</v>
      </c>
      <c r="P20" s="6">
        <f t="shared" si="9"/>
        <v>0</v>
      </c>
      <c r="Q20" s="6">
        <f t="shared" si="10"/>
        <v>0</v>
      </c>
      <c r="R20" s="6">
        <f t="shared" si="11"/>
        <v>0</v>
      </c>
      <c r="S20" s="6">
        <f t="shared" si="12"/>
        <v>1</v>
      </c>
      <c r="T20" s="6">
        <f t="shared" si="13"/>
        <v>1</v>
      </c>
      <c r="U20" s="6">
        <f t="shared" si="14"/>
        <v>0</v>
      </c>
      <c r="V20" s="6">
        <f t="shared" si="15"/>
        <v>0</v>
      </c>
      <c r="X20" s="25" t="s">
        <v>202</v>
      </c>
      <c r="Y20" s="25">
        <v>-2087.4240922782969</v>
      </c>
      <c r="Z20" s="25">
        <v>3671.2720950387843</v>
      </c>
      <c r="AA20" s="25">
        <v>-0.56858332431942638</v>
      </c>
      <c r="AB20" s="25">
        <v>0.57112073508028316</v>
      </c>
      <c r="AC20" s="25">
        <v>-9385.6713238455577</v>
      </c>
      <c r="AD20" s="25">
        <v>5210.8231392889647</v>
      </c>
      <c r="AE20" s="25">
        <v>-9385.6713238455577</v>
      </c>
      <c r="AF20" s="25">
        <v>5210.8231392889647</v>
      </c>
    </row>
    <row r="21" spans="1:32">
      <c r="A21" s="13">
        <v>12834</v>
      </c>
      <c r="B21" s="7">
        <v>15</v>
      </c>
      <c r="C21" s="6" t="s">
        <v>231</v>
      </c>
      <c r="D21" s="6">
        <v>12</v>
      </c>
      <c r="E21" s="6" t="s">
        <v>49</v>
      </c>
      <c r="F21" s="6" t="s">
        <v>37</v>
      </c>
      <c r="G21" s="6">
        <f t="shared" si="0"/>
        <v>0</v>
      </c>
      <c r="H21" s="6">
        <f t="shared" si="1"/>
        <v>0</v>
      </c>
      <c r="I21" s="6">
        <f t="shared" si="2"/>
        <v>0</v>
      </c>
      <c r="J21" s="6">
        <f t="shared" si="3"/>
        <v>1</v>
      </c>
      <c r="K21" s="6">
        <f t="shared" si="4"/>
        <v>0</v>
      </c>
      <c r="L21" s="6">
        <f t="shared" si="5"/>
        <v>0</v>
      </c>
      <c r="M21" s="6">
        <f t="shared" si="6"/>
        <v>0</v>
      </c>
      <c r="N21" s="6">
        <f t="shared" si="7"/>
        <v>1</v>
      </c>
      <c r="O21" s="6">
        <f t="shared" si="8"/>
        <v>0</v>
      </c>
      <c r="P21" s="6">
        <f t="shared" si="9"/>
        <v>0</v>
      </c>
      <c r="Q21" s="6">
        <f t="shared" si="10"/>
        <v>0</v>
      </c>
      <c r="R21" s="6">
        <f t="shared" si="11"/>
        <v>0</v>
      </c>
      <c r="S21" s="6">
        <f t="shared" si="12"/>
        <v>1</v>
      </c>
      <c r="T21" s="6">
        <f t="shared" si="13"/>
        <v>1</v>
      </c>
      <c r="U21" s="6">
        <f t="shared" si="14"/>
        <v>0</v>
      </c>
      <c r="V21" s="6">
        <f t="shared" si="15"/>
        <v>0</v>
      </c>
      <c r="X21" s="25" t="s">
        <v>203</v>
      </c>
      <c r="Y21" s="25">
        <v>-5840.2731980275794</v>
      </c>
      <c r="Z21" s="25">
        <v>3670.7478623274692</v>
      </c>
      <c r="AA21" s="25">
        <v>-1.5910308790112606</v>
      </c>
      <c r="AB21" s="25">
        <v>0.1152720523933578</v>
      </c>
      <c r="AC21" s="25">
        <v>-13137.478289476918</v>
      </c>
      <c r="AD21" s="25">
        <v>1456.931893421759</v>
      </c>
      <c r="AE21" s="25">
        <v>-13137.478289476918</v>
      </c>
      <c r="AF21" s="25">
        <v>1456.931893421759</v>
      </c>
    </row>
    <row r="22" spans="1:32">
      <c r="A22" s="13">
        <v>34834</v>
      </c>
      <c r="B22" s="7">
        <v>15</v>
      </c>
      <c r="C22" s="6" t="s">
        <v>230</v>
      </c>
      <c r="D22" s="6">
        <v>22</v>
      </c>
      <c r="E22" s="6" t="s">
        <v>47</v>
      </c>
      <c r="F22" s="6" t="s">
        <v>35</v>
      </c>
      <c r="G22" s="6">
        <f t="shared" si="0"/>
        <v>0</v>
      </c>
      <c r="H22" s="6">
        <f t="shared" si="1"/>
        <v>0</v>
      </c>
      <c r="I22" s="6">
        <f t="shared" si="2"/>
        <v>1</v>
      </c>
      <c r="J22" s="6">
        <f t="shared" si="3"/>
        <v>0</v>
      </c>
      <c r="K22" s="6">
        <f t="shared" si="4"/>
        <v>0</v>
      </c>
      <c r="L22" s="6">
        <f t="shared" si="5"/>
        <v>0</v>
      </c>
      <c r="M22" s="6">
        <f t="shared" si="6"/>
        <v>0</v>
      </c>
      <c r="N22" s="6">
        <f t="shared" si="7"/>
        <v>0</v>
      </c>
      <c r="O22" s="6">
        <f t="shared" si="8"/>
        <v>0</v>
      </c>
      <c r="P22" s="6">
        <f t="shared" si="9"/>
        <v>0</v>
      </c>
      <c r="Q22" s="6">
        <f t="shared" si="10"/>
        <v>1</v>
      </c>
      <c r="R22" s="6">
        <f t="shared" si="11"/>
        <v>0</v>
      </c>
      <c r="S22" s="6">
        <f t="shared" si="12"/>
        <v>1</v>
      </c>
      <c r="T22" s="6">
        <f t="shared" si="13"/>
        <v>1</v>
      </c>
      <c r="U22" s="6">
        <f t="shared" si="14"/>
        <v>0</v>
      </c>
      <c r="V22" s="6">
        <f t="shared" si="15"/>
        <v>0</v>
      </c>
      <c r="X22" s="25" t="s">
        <v>204</v>
      </c>
      <c r="Y22" s="25">
        <v>3885.8899891120827</v>
      </c>
      <c r="Z22" s="25">
        <v>3456.1146961607874</v>
      </c>
      <c r="AA22" s="25">
        <v>1.1243521499528675</v>
      </c>
      <c r="AB22" s="25">
        <v>0.26399216049332763</v>
      </c>
      <c r="AC22" s="25">
        <v>-2984.6384980900966</v>
      </c>
      <c r="AD22" s="25">
        <v>10756.418476314262</v>
      </c>
      <c r="AE22" s="25">
        <v>-2984.6384980900966</v>
      </c>
      <c r="AF22" s="25">
        <v>10756.418476314262</v>
      </c>
    </row>
    <row r="23" spans="1:32">
      <c r="A23" s="13">
        <v>23029</v>
      </c>
      <c r="B23" s="7">
        <v>15</v>
      </c>
      <c r="C23" s="6" t="s">
        <v>225</v>
      </c>
      <c r="D23" s="6">
        <v>22</v>
      </c>
      <c r="E23" s="6" t="s">
        <v>53</v>
      </c>
      <c r="F23" s="6" t="s">
        <v>39</v>
      </c>
      <c r="G23" s="6">
        <f t="shared" si="0"/>
        <v>1</v>
      </c>
      <c r="H23" s="6">
        <f t="shared" si="1"/>
        <v>0</v>
      </c>
      <c r="I23" s="6">
        <f t="shared" si="2"/>
        <v>0</v>
      </c>
      <c r="J23" s="6">
        <f t="shared" si="3"/>
        <v>0</v>
      </c>
      <c r="K23" s="6">
        <f t="shared" si="4"/>
        <v>0</v>
      </c>
      <c r="L23" s="6">
        <f t="shared" si="5"/>
        <v>0</v>
      </c>
      <c r="M23" s="6">
        <f t="shared" si="6"/>
        <v>0</v>
      </c>
      <c r="N23" s="6">
        <f t="shared" si="7"/>
        <v>0</v>
      </c>
      <c r="O23" s="6">
        <f t="shared" si="8"/>
        <v>0</v>
      </c>
      <c r="P23" s="6">
        <f t="shared" si="9"/>
        <v>0</v>
      </c>
      <c r="Q23" s="6">
        <f t="shared" si="10"/>
        <v>1</v>
      </c>
      <c r="R23" s="6">
        <f t="shared" si="11"/>
        <v>1</v>
      </c>
      <c r="S23" s="6">
        <f t="shared" si="12"/>
        <v>0</v>
      </c>
      <c r="T23" s="6">
        <f t="shared" si="13"/>
        <v>0</v>
      </c>
      <c r="U23" s="6">
        <f t="shared" si="14"/>
        <v>1</v>
      </c>
      <c r="V23" s="6">
        <f t="shared" si="15"/>
        <v>0</v>
      </c>
      <c r="X23" s="25" t="s">
        <v>205</v>
      </c>
      <c r="Y23" s="25">
        <v>6340.6288085542901</v>
      </c>
      <c r="Z23" s="25">
        <v>4260.459181345881</v>
      </c>
      <c r="AA23" s="25">
        <v>1.4882501013778713</v>
      </c>
      <c r="AB23" s="25">
        <v>0.14034275258792916</v>
      </c>
      <c r="AC23" s="25">
        <v>-2128.8835622345641</v>
      </c>
      <c r="AD23" s="25">
        <v>14810.141179343143</v>
      </c>
      <c r="AE23" s="25">
        <v>-2128.8835622345641</v>
      </c>
      <c r="AF23" s="25">
        <v>14810.141179343143</v>
      </c>
    </row>
    <row r="24" spans="1:32">
      <c r="A24" s="13">
        <v>13388</v>
      </c>
      <c r="B24" s="7">
        <v>5</v>
      </c>
      <c r="C24" s="6" t="s">
        <v>227</v>
      </c>
      <c r="D24" s="6">
        <v>22</v>
      </c>
      <c r="E24" s="6" t="s">
        <v>42</v>
      </c>
      <c r="F24" s="6" t="s">
        <v>37</v>
      </c>
      <c r="G24" s="6">
        <f t="shared" si="0"/>
        <v>0</v>
      </c>
      <c r="H24" s="6">
        <f t="shared" si="1"/>
        <v>1</v>
      </c>
      <c r="I24" s="6">
        <f t="shared" si="2"/>
        <v>0</v>
      </c>
      <c r="J24" s="6">
        <f t="shared" si="3"/>
        <v>0</v>
      </c>
      <c r="K24" s="6">
        <f t="shared" si="4"/>
        <v>0</v>
      </c>
      <c r="L24" s="6">
        <f t="shared" si="5"/>
        <v>0</v>
      </c>
      <c r="M24" s="6">
        <f t="shared" si="6"/>
        <v>0</v>
      </c>
      <c r="N24" s="6">
        <f t="shared" si="7"/>
        <v>0</v>
      </c>
      <c r="O24" s="6">
        <f t="shared" si="8"/>
        <v>0</v>
      </c>
      <c r="P24" s="6">
        <f t="shared" si="9"/>
        <v>0</v>
      </c>
      <c r="Q24" s="6">
        <f t="shared" si="10"/>
        <v>1</v>
      </c>
      <c r="R24" s="6">
        <f t="shared" si="11"/>
        <v>1</v>
      </c>
      <c r="S24" s="6">
        <f t="shared" si="12"/>
        <v>0</v>
      </c>
      <c r="T24" s="6">
        <f t="shared" si="13"/>
        <v>1</v>
      </c>
      <c r="U24" s="6">
        <f t="shared" si="14"/>
        <v>0</v>
      </c>
      <c r="V24" s="6">
        <f t="shared" si="15"/>
        <v>0</v>
      </c>
      <c r="X24" s="25" t="s">
        <v>208</v>
      </c>
      <c r="Y24" s="25">
        <v>0</v>
      </c>
      <c r="Z24" s="25">
        <v>0</v>
      </c>
      <c r="AA24" s="25">
        <v>65535</v>
      </c>
      <c r="AB24" s="25" t="e">
        <v>#NUM!</v>
      </c>
      <c r="AC24" s="25">
        <v>0</v>
      </c>
      <c r="AD24" s="25">
        <v>0</v>
      </c>
      <c r="AE24" s="25">
        <v>0</v>
      </c>
      <c r="AF24" s="25">
        <v>0</v>
      </c>
    </row>
    <row r="25" spans="1:32">
      <c r="A25" s="13">
        <v>8955</v>
      </c>
      <c r="B25" s="7">
        <v>8</v>
      </c>
      <c r="C25" s="6" t="s">
        <v>225</v>
      </c>
      <c r="D25" s="6">
        <v>22</v>
      </c>
      <c r="E25" s="6" t="s">
        <v>18</v>
      </c>
      <c r="F25" s="6" t="s">
        <v>60</v>
      </c>
      <c r="G25" s="6">
        <f t="shared" si="0"/>
        <v>1</v>
      </c>
      <c r="H25" s="6">
        <f t="shared" si="1"/>
        <v>0</v>
      </c>
      <c r="I25" s="6">
        <f t="shared" si="2"/>
        <v>0</v>
      </c>
      <c r="J25" s="6">
        <f t="shared" si="3"/>
        <v>0</v>
      </c>
      <c r="K25" s="6">
        <f t="shared" si="4"/>
        <v>0</v>
      </c>
      <c r="L25" s="6">
        <f t="shared" si="5"/>
        <v>0</v>
      </c>
      <c r="M25" s="6">
        <f t="shared" si="6"/>
        <v>0</v>
      </c>
      <c r="N25" s="6">
        <f t="shared" si="7"/>
        <v>0</v>
      </c>
      <c r="O25" s="6">
        <f t="shared" si="8"/>
        <v>0</v>
      </c>
      <c r="P25" s="6">
        <f t="shared" si="9"/>
        <v>0</v>
      </c>
      <c r="Q25" s="6">
        <f t="shared" si="10"/>
        <v>1</v>
      </c>
      <c r="R25" s="6">
        <f t="shared" si="11"/>
        <v>0</v>
      </c>
      <c r="S25" s="6">
        <f t="shared" si="12"/>
        <v>1</v>
      </c>
      <c r="T25" s="6">
        <f t="shared" si="13"/>
        <v>0</v>
      </c>
      <c r="U25" s="6">
        <f t="shared" si="14"/>
        <v>0</v>
      </c>
      <c r="V25" s="6">
        <f t="shared" si="15"/>
        <v>1</v>
      </c>
      <c r="X25" s="25" t="s">
        <v>209</v>
      </c>
      <c r="Y25" s="25">
        <v>-4992.6210765468331</v>
      </c>
      <c r="Z25" s="25">
        <v>4119.5578987024583</v>
      </c>
      <c r="AA25" s="25">
        <v>-1.2119312798393644</v>
      </c>
      <c r="AB25" s="25">
        <v>0.22885792501996693</v>
      </c>
      <c r="AC25" s="25">
        <v>-13182.03097349119</v>
      </c>
      <c r="AD25" s="25">
        <v>3196.7888203975226</v>
      </c>
      <c r="AE25" s="25">
        <v>-13182.03097349119</v>
      </c>
      <c r="AF25" s="25">
        <v>3196.7888203975226</v>
      </c>
    </row>
    <row r="26" spans="1:32">
      <c r="A26" s="13">
        <v>32104</v>
      </c>
      <c r="B26" s="7">
        <v>8</v>
      </c>
      <c r="C26" s="6" t="s">
        <v>233</v>
      </c>
      <c r="D26" s="6">
        <v>22</v>
      </c>
      <c r="E26" s="6" t="s">
        <v>47</v>
      </c>
      <c r="F26" s="6" t="s">
        <v>39</v>
      </c>
      <c r="G26" s="6">
        <f t="shared" si="0"/>
        <v>0</v>
      </c>
      <c r="H26" s="6">
        <f t="shared" si="1"/>
        <v>0</v>
      </c>
      <c r="I26" s="6">
        <f t="shared" si="2"/>
        <v>0</v>
      </c>
      <c r="J26" s="6">
        <f t="shared" si="3"/>
        <v>0</v>
      </c>
      <c r="K26" s="6">
        <f t="shared" si="4"/>
        <v>1</v>
      </c>
      <c r="L26" s="6">
        <f t="shared" si="5"/>
        <v>0</v>
      </c>
      <c r="M26" s="6">
        <f t="shared" si="6"/>
        <v>0</v>
      </c>
      <c r="N26" s="6">
        <f t="shared" si="7"/>
        <v>0</v>
      </c>
      <c r="O26" s="6">
        <f t="shared" si="8"/>
        <v>0</v>
      </c>
      <c r="P26" s="6">
        <f t="shared" si="9"/>
        <v>0</v>
      </c>
      <c r="Q26" s="6">
        <f t="shared" si="10"/>
        <v>1</v>
      </c>
      <c r="R26" s="6">
        <f t="shared" si="11"/>
        <v>0</v>
      </c>
      <c r="S26" s="6">
        <f t="shared" si="12"/>
        <v>1</v>
      </c>
      <c r="T26" s="6">
        <f t="shared" si="13"/>
        <v>0</v>
      </c>
      <c r="U26" s="6">
        <f t="shared" si="14"/>
        <v>1</v>
      </c>
      <c r="V26" s="6">
        <f t="shared" si="15"/>
        <v>0</v>
      </c>
      <c r="X26" s="25" t="s">
        <v>210</v>
      </c>
      <c r="Y26" s="25">
        <v>-7131.1381131691123</v>
      </c>
      <c r="Z26" s="25">
        <v>3752.0980340799661</v>
      </c>
      <c r="AA26" s="25">
        <v>-1.9005735053822239</v>
      </c>
      <c r="AB26" s="25">
        <v>6.0707919515738298E-2</v>
      </c>
      <c r="AC26" s="25">
        <v>-14590.06199048085</v>
      </c>
      <c r="AD26" s="25">
        <v>327.78576414262534</v>
      </c>
      <c r="AE26" s="25">
        <v>-14590.06199048085</v>
      </c>
      <c r="AF26" s="25">
        <v>327.78576414262534</v>
      </c>
    </row>
    <row r="27" spans="1:32">
      <c r="A27" s="13">
        <v>27794</v>
      </c>
      <c r="B27" s="7">
        <v>9</v>
      </c>
      <c r="C27" s="6" t="s">
        <v>237</v>
      </c>
      <c r="D27" s="6">
        <v>21</v>
      </c>
      <c r="E27" s="6" t="s">
        <v>42</v>
      </c>
      <c r="F27" s="6" t="s">
        <v>39</v>
      </c>
      <c r="G27" s="6">
        <f t="shared" si="0"/>
        <v>0</v>
      </c>
      <c r="H27" s="6">
        <f t="shared" si="1"/>
        <v>0</v>
      </c>
      <c r="I27" s="6">
        <f t="shared" si="2"/>
        <v>0</v>
      </c>
      <c r="J27" s="6">
        <f t="shared" si="3"/>
        <v>0</v>
      </c>
      <c r="K27" s="6">
        <f t="shared" si="4"/>
        <v>0</v>
      </c>
      <c r="L27" s="6">
        <f t="shared" si="5"/>
        <v>0</v>
      </c>
      <c r="M27" s="6">
        <f t="shared" si="6"/>
        <v>1</v>
      </c>
      <c r="N27" s="6">
        <f t="shared" si="7"/>
        <v>0</v>
      </c>
      <c r="O27" s="6">
        <f t="shared" si="8"/>
        <v>0</v>
      </c>
      <c r="P27" s="6">
        <f t="shared" si="9"/>
        <v>0</v>
      </c>
      <c r="Q27" s="6">
        <f t="shared" si="10"/>
        <v>1</v>
      </c>
      <c r="R27" s="6">
        <f t="shared" si="11"/>
        <v>1</v>
      </c>
      <c r="S27" s="6">
        <f t="shared" si="12"/>
        <v>0</v>
      </c>
      <c r="T27" s="6">
        <f t="shared" si="13"/>
        <v>0</v>
      </c>
      <c r="U27" s="6">
        <f t="shared" si="14"/>
        <v>1</v>
      </c>
      <c r="V27" s="6">
        <f t="shared" si="15"/>
        <v>0</v>
      </c>
      <c r="X27" s="25" t="s">
        <v>211</v>
      </c>
      <c r="Y27" s="25">
        <v>647.9531279375268</v>
      </c>
      <c r="Z27" s="25">
        <v>2347.284152049418</v>
      </c>
      <c r="AA27" s="25">
        <v>0.27604375353184135</v>
      </c>
      <c r="AB27" s="25">
        <v>0.78317672016609818</v>
      </c>
      <c r="AC27" s="25">
        <v>-4018.2932359717643</v>
      </c>
      <c r="AD27" s="25">
        <v>5314.1994918468181</v>
      </c>
      <c r="AE27" s="25">
        <v>-4018.2932359717643</v>
      </c>
      <c r="AF27" s="25">
        <v>5314.1994918468181</v>
      </c>
    </row>
    <row r="28" spans="1:32">
      <c r="A28" s="13">
        <v>37692</v>
      </c>
      <c r="B28" s="7">
        <v>7</v>
      </c>
      <c r="C28" s="6" t="s">
        <v>231</v>
      </c>
      <c r="D28" s="6">
        <v>15</v>
      </c>
      <c r="E28" s="6" t="s">
        <v>18</v>
      </c>
      <c r="F28" s="6" t="s">
        <v>58</v>
      </c>
      <c r="G28" s="6">
        <f t="shared" si="0"/>
        <v>0</v>
      </c>
      <c r="H28" s="6">
        <f t="shared" si="1"/>
        <v>0</v>
      </c>
      <c r="I28" s="6">
        <f t="shared" si="2"/>
        <v>0</v>
      </c>
      <c r="J28" s="6">
        <f t="shared" si="3"/>
        <v>1</v>
      </c>
      <c r="K28" s="6">
        <f t="shared" si="4"/>
        <v>0</v>
      </c>
      <c r="L28" s="6">
        <f t="shared" si="5"/>
        <v>0</v>
      </c>
      <c r="M28" s="6">
        <f t="shared" si="6"/>
        <v>0</v>
      </c>
      <c r="N28" s="6">
        <f t="shared" si="7"/>
        <v>0</v>
      </c>
      <c r="O28" s="6">
        <f t="shared" si="8"/>
        <v>1</v>
      </c>
      <c r="P28" s="6">
        <f t="shared" si="9"/>
        <v>0</v>
      </c>
      <c r="Q28" s="6">
        <f t="shared" si="10"/>
        <v>0</v>
      </c>
      <c r="R28" s="6">
        <f t="shared" si="11"/>
        <v>0</v>
      </c>
      <c r="S28" s="6">
        <f t="shared" si="12"/>
        <v>1</v>
      </c>
      <c r="T28" s="6">
        <f t="shared" si="13"/>
        <v>0</v>
      </c>
      <c r="U28" s="6">
        <f t="shared" si="14"/>
        <v>0</v>
      </c>
      <c r="V28" s="6">
        <f t="shared" si="15"/>
        <v>1</v>
      </c>
      <c r="X28" s="25" t="s">
        <v>217</v>
      </c>
      <c r="Y28" s="25">
        <v>0</v>
      </c>
      <c r="Z28" s="25">
        <v>0</v>
      </c>
      <c r="AA28" s="25">
        <v>65535</v>
      </c>
      <c r="AB28" s="25" t="e">
        <v>#NUM!</v>
      </c>
      <c r="AC28" s="25">
        <v>0</v>
      </c>
      <c r="AD28" s="25">
        <v>0</v>
      </c>
      <c r="AE28" s="25">
        <v>0</v>
      </c>
      <c r="AF28" s="25">
        <v>0</v>
      </c>
    </row>
    <row r="29" spans="1:32">
      <c r="A29" s="13">
        <v>39848</v>
      </c>
      <c r="B29" s="7">
        <v>4</v>
      </c>
      <c r="C29" s="6" t="s">
        <v>225</v>
      </c>
      <c r="D29" s="6">
        <v>11</v>
      </c>
      <c r="E29" s="6" t="s">
        <v>42</v>
      </c>
      <c r="F29" s="6" t="s">
        <v>39</v>
      </c>
      <c r="G29" s="6">
        <f t="shared" si="0"/>
        <v>1</v>
      </c>
      <c r="H29" s="6">
        <f t="shared" si="1"/>
        <v>0</v>
      </c>
      <c r="I29" s="6">
        <f t="shared" si="2"/>
        <v>0</v>
      </c>
      <c r="J29" s="6">
        <f t="shared" si="3"/>
        <v>0</v>
      </c>
      <c r="K29" s="6">
        <f t="shared" si="4"/>
        <v>0</v>
      </c>
      <c r="L29" s="6">
        <f t="shared" si="5"/>
        <v>0</v>
      </c>
      <c r="M29" s="6">
        <f t="shared" si="6"/>
        <v>0</v>
      </c>
      <c r="N29" s="6">
        <f t="shared" si="7"/>
        <v>1</v>
      </c>
      <c r="O29" s="6">
        <f t="shared" si="8"/>
        <v>0</v>
      </c>
      <c r="P29" s="6">
        <f t="shared" si="9"/>
        <v>0</v>
      </c>
      <c r="Q29" s="6">
        <f t="shared" si="10"/>
        <v>0</v>
      </c>
      <c r="R29" s="6">
        <f t="shared" si="11"/>
        <v>1</v>
      </c>
      <c r="S29" s="6">
        <f t="shared" si="12"/>
        <v>0</v>
      </c>
      <c r="T29" s="6">
        <f t="shared" si="13"/>
        <v>0</v>
      </c>
      <c r="U29" s="6">
        <f t="shared" si="14"/>
        <v>1</v>
      </c>
      <c r="V29" s="6">
        <f t="shared" si="15"/>
        <v>0</v>
      </c>
      <c r="X29" s="25" t="s">
        <v>218</v>
      </c>
      <c r="Y29" s="25">
        <v>2621.6138387879264</v>
      </c>
      <c r="Z29" s="25">
        <v>2633.4885287209509</v>
      </c>
      <c r="AA29" s="25">
        <v>0.99549088982028267</v>
      </c>
      <c r="AB29" s="25">
        <v>0.32229033720367961</v>
      </c>
      <c r="AC29" s="25">
        <v>-2613.5879840556554</v>
      </c>
      <c r="AD29" s="25">
        <v>7856.8156616315082</v>
      </c>
      <c r="AE29" s="25">
        <v>-2613.5879840556554</v>
      </c>
      <c r="AF29" s="25">
        <v>7856.8156616315082</v>
      </c>
    </row>
    <row r="30" spans="1:32">
      <c r="A30" s="13">
        <v>20703</v>
      </c>
      <c r="B30" s="7">
        <v>13</v>
      </c>
      <c r="C30" s="6" t="s">
        <v>227</v>
      </c>
      <c r="D30" s="6">
        <v>22</v>
      </c>
      <c r="E30" s="6" t="s">
        <v>42</v>
      </c>
      <c r="F30" s="6" t="s">
        <v>35</v>
      </c>
      <c r="G30" s="6">
        <f t="shared" si="0"/>
        <v>0</v>
      </c>
      <c r="H30" s="6">
        <f t="shared" si="1"/>
        <v>1</v>
      </c>
      <c r="I30" s="6">
        <f t="shared" si="2"/>
        <v>0</v>
      </c>
      <c r="J30" s="6">
        <f t="shared" si="3"/>
        <v>0</v>
      </c>
      <c r="K30" s="6">
        <f t="shared" si="4"/>
        <v>0</v>
      </c>
      <c r="L30" s="6">
        <f t="shared" si="5"/>
        <v>0</v>
      </c>
      <c r="M30" s="6">
        <f t="shared" si="6"/>
        <v>0</v>
      </c>
      <c r="N30" s="6">
        <f t="shared" si="7"/>
        <v>0</v>
      </c>
      <c r="O30" s="6">
        <f t="shared" si="8"/>
        <v>0</v>
      </c>
      <c r="P30" s="6">
        <f t="shared" si="9"/>
        <v>0</v>
      </c>
      <c r="Q30" s="6">
        <f t="shared" si="10"/>
        <v>1</v>
      </c>
      <c r="R30" s="6">
        <f t="shared" si="11"/>
        <v>1</v>
      </c>
      <c r="S30" s="6">
        <f t="shared" si="12"/>
        <v>0</v>
      </c>
      <c r="T30" s="6">
        <f t="shared" si="13"/>
        <v>1</v>
      </c>
      <c r="U30" s="6">
        <f t="shared" si="14"/>
        <v>0</v>
      </c>
      <c r="V30" s="6">
        <f t="shared" si="15"/>
        <v>0</v>
      </c>
      <c r="X30" s="25" t="s">
        <v>219</v>
      </c>
      <c r="Y30" s="25">
        <v>995.5503728629385</v>
      </c>
      <c r="Z30" s="25">
        <v>2387.3897648666584</v>
      </c>
      <c r="AA30" s="25">
        <v>0.41700370317141844</v>
      </c>
      <c r="AB30" s="25">
        <v>0.67771478692943998</v>
      </c>
      <c r="AC30" s="25">
        <v>-3750.4233090267544</v>
      </c>
      <c r="AD30" s="25">
        <v>5741.5240547526309</v>
      </c>
      <c r="AE30" s="25">
        <v>-3750.4233090267544</v>
      </c>
      <c r="AF30" s="25">
        <v>5741.5240547526309</v>
      </c>
    </row>
    <row r="31" spans="1:32">
      <c r="A31" s="13">
        <v>34976</v>
      </c>
      <c r="B31" s="7">
        <v>5</v>
      </c>
      <c r="C31" s="6" t="s">
        <v>233</v>
      </c>
      <c r="D31" s="6">
        <v>21</v>
      </c>
      <c r="E31" s="6" t="s">
        <v>53</v>
      </c>
      <c r="F31" s="6" t="s">
        <v>37</v>
      </c>
      <c r="G31" s="6">
        <f t="shared" si="0"/>
        <v>0</v>
      </c>
      <c r="H31" s="6">
        <f t="shared" si="1"/>
        <v>0</v>
      </c>
      <c r="I31" s="6">
        <f t="shared" si="2"/>
        <v>0</v>
      </c>
      <c r="J31" s="6">
        <f t="shared" si="3"/>
        <v>0</v>
      </c>
      <c r="K31" s="6">
        <f t="shared" si="4"/>
        <v>1</v>
      </c>
      <c r="L31" s="6">
        <f t="shared" si="5"/>
        <v>0</v>
      </c>
      <c r="M31" s="6">
        <f t="shared" si="6"/>
        <v>0</v>
      </c>
      <c r="N31" s="6">
        <f t="shared" si="7"/>
        <v>0</v>
      </c>
      <c r="O31" s="6">
        <f t="shared" si="8"/>
        <v>0</v>
      </c>
      <c r="P31" s="6">
        <f t="shared" si="9"/>
        <v>0</v>
      </c>
      <c r="Q31" s="6">
        <f t="shared" si="10"/>
        <v>1</v>
      </c>
      <c r="R31" s="6">
        <f t="shared" si="11"/>
        <v>1</v>
      </c>
      <c r="S31" s="6">
        <f t="shared" si="12"/>
        <v>0</v>
      </c>
      <c r="T31" s="6">
        <f t="shared" si="13"/>
        <v>1</v>
      </c>
      <c r="U31" s="6">
        <f t="shared" si="14"/>
        <v>0</v>
      </c>
      <c r="V31" s="6">
        <f t="shared" si="15"/>
        <v>0</v>
      </c>
      <c r="X31" s="25" t="s">
        <v>220</v>
      </c>
      <c r="Y31" s="25">
        <v>394.06833171324337</v>
      </c>
      <c r="Z31" s="25">
        <v>1833.1353336356967</v>
      </c>
      <c r="AA31" s="25">
        <v>0.21496957943180287</v>
      </c>
      <c r="AB31" s="25">
        <v>0.83029999355971229</v>
      </c>
      <c r="AC31" s="25">
        <v>-3250.0840295008102</v>
      </c>
      <c r="AD31" s="25">
        <v>4038.220692927297</v>
      </c>
      <c r="AE31" s="25">
        <v>-3250.0840295008102</v>
      </c>
      <c r="AF31" s="25">
        <v>4038.220692927297</v>
      </c>
    </row>
    <row r="32" spans="1:32">
      <c r="A32" s="13">
        <v>19986</v>
      </c>
      <c r="B32" s="7">
        <v>14</v>
      </c>
      <c r="C32" s="6" t="s">
        <v>230</v>
      </c>
      <c r="D32" s="6">
        <v>10</v>
      </c>
      <c r="E32" s="6" t="s">
        <v>49</v>
      </c>
      <c r="F32" s="6" t="s">
        <v>58</v>
      </c>
      <c r="G32" s="6">
        <f t="shared" si="0"/>
        <v>0</v>
      </c>
      <c r="H32" s="6">
        <f t="shared" si="1"/>
        <v>0</v>
      </c>
      <c r="I32" s="6">
        <f t="shared" si="2"/>
        <v>1</v>
      </c>
      <c r="J32" s="6">
        <f t="shared" si="3"/>
        <v>0</v>
      </c>
      <c r="K32" s="6">
        <f t="shared" si="4"/>
        <v>0</v>
      </c>
      <c r="L32" s="6">
        <f t="shared" si="5"/>
        <v>0</v>
      </c>
      <c r="M32" s="6">
        <f t="shared" si="6"/>
        <v>0</v>
      </c>
      <c r="N32" s="6">
        <f t="shared" si="7"/>
        <v>1</v>
      </c>
      <c r="O32" s="6">
        <f t="shared" si="8"/>
        <v>0</v>
      </c>
      <c r="P32" s="6">
        <f t="shared" si="9"/>
        <v>0</v>
      </c>
      <c r="Q32" s="6">
        <f t="shared" si="10"/>
        <v>0</v>
      </c>
      <c r="R32" s="6">
        <f t="shared" si="11"/>
        <v>0</v>
      </c>
      <c r="S32" s="6">
        <f t="shared" si="12"/>
        <v>1</v>
      </c>
      <c r="T32" s="6">
        <f t="shared" si="13"/>
        <v>0</v>
      </c>
      <c r="U32" s="6">
        <f t="shared" si="14"/>
        <v>0</v>
      </c>
      <c r="V32" s="6">
        <f t="shared" si="15"/>
        <v>1</v>
      </c>
      <c r="X32" s="25" t="s">
        <v>221</v>
      </c>
      <c r="Y32" s="25">
        <v>0</v>
      </c>
      <c r="Z32" s="25">
        <v>0</v>
      </c>
      <c r="AA32" s="25">
        <v>65535</v>
      </c>
      <c r="AB32" s="25" t="e">
        <v>#NUM!</v>
      </c>
      <c r="AC32" s="25">
        <v>0</v>
      </c>
      <c r="AD32" s="25">
        <v>0</v>
      </c>
      <c r="AE32" s="25">
        <v>0</v>
      </c>
      <c r="AF32" s="25">
        <v>0</v>
      </c>
    </row>
    <row r="33" spans="1:32">
      <c r="A33" s="13">
        <v>40073</v>
      </c>
      <c r="B33" s="7">
        <v>9</v>
      </c>
      <c r="C33" s="6" t="s">
        <v>230</v>
      </c>
      <c r="D33" s="6">
        <v>19</v>
      </c>
      <c r="E33" s="6" t="s">
        <v>51</v>
      </c>
      <c r="F33" s="6" t="s">
        <v>39</v>
      </c>
      <c r="G33" s="6">
        <f t="shared" si="0"/>
        <v>0</v>
      </c>
      <c r="H33" s="6">
        <f t="shared" si="1"/>
        <v>0</v>
      </c>
      <c r="I33" s="6">
        <f t="shared" si="2"/>
        <v>1</v>
      </c>
      <c r="J33" s="6">
        <f t="shared" si="3"/>
        <v>0</v>
      </c>
      <c r="K33" s="6">
        <f t="shared" si="4"/>
        <v>0</v>
      </c>
      <c r="L33" s="6">
        <f t="shared" si="5"/>
        <v>0</v>
      </c>
      <c r="M33" s="6">
        <f t="shared" si="6"/>
        <v>0</v>
      </c>
      <c r="N33" s="6">
        <f t="shared" si="7"/>
        <v>0</v>
      </c>
      <c r="O33" s="6">
        <f t="shared" si="8"/>
        <v>0</v>
      </c>
      <c r="P33" s="6">
        <f t="shared" si="9"/>
        <v>0</v>
      </c>
      <c r="Q33" s="6">
        <f t="shared" si="10"/>
        <v>1</v>
      </c>
      <c r="R33" s="6">
        <f t="shared" si="11"/>
        <v>0</v>
      </c>
      <c r="S33" s="6">
        <f t="shared" si="12"/>
        <v>1</v>
      </c>
      <c r="T33" s="6">
        <f t="shared" si="13"/>
        <v>0</v>
      </c>
      <c r="U33" s="6">
        <f t="shared" si="14"/>
        <v>1</v>
      </c>
      <c r="V33" s="6">
        <f t="shared" si="15"/>
        <v>0</v>
      </c>
      <c r="X33" s="25" t="s">
        <v>222</v>
      </c>
      <c r="Y33" s="25">
        <v>0</v>
      </c>
      <c r="Z33" s="25">
        <v>0</v>
      </c>
      <c r="AA33" s="25">
        <v>65535</v>
      </c>
      <c r="AB33" s="25" t="e">
        <v>#NUM!</v>
      </c>
      <c r="AC33" s="25">
        <v>0</v>
      </c>
      <c r="AD33" s="25">
        <v>0</v>
      </c>
      <c r="AE33" s="25">
        <v>0</v>
      </c>
      <c r="AF33" s="25">
        <v>0</v>
      </c>
    </row>
    <row r="34" spans="1:32">
      <c r="A34" s="13">
        <v>17324</v>
      </c>
      <c r="B34" s="7">
        <v>5</v>
      </c>
      <c r="C34" s="6" t="s">
        <v>225</v>
      </c>
      <c r="D34" s="6">
        <v>21</v>
      </c>
      <c r="E34" s="6" t="s">
        <v>53</v>
      </c>
      <c r="F34" s="6" t="s">
        <v>39</v>
      </c>
      <c r="G34" s="6">
        <f t="shared" si="0"/>
        <v>1</v>
      </c>
      <c r="H34" s="6">
        <f t="shared" si="1"/>
        <v>0</v>
      </c>
      <c r="I34" s="6">
        <f t="shared" si="2"/>
        <v>0</v>
      </c>
      <c r="J34" s="6">
        <f t="shared" si="3"/>
        <v>0</v>
      </c>
      <c r="K34" s="6">
        <f t="shared" si="4"/>
        <v>0</v>
      </c>
      <c r="L34" s="6">
        <f t="shared" si="5"/>
        <v>0</v>
      </c>
      <c r="M34" s="6">
        <f t="shared" si="6"/>
        <v>0</v>
      </c>
      <c r="N34" s="6">
        <f t="shared" si="7"/>
        <v>0</v>
      </c>
      <c r="O34" s="6">
        <f t="shared" si="8"/>
        <v>0</v>
      </c>
      <c r="P34" s="6">
        <f t="shared" si="9"/>
        <v>0</v>
      </c>
      <c r="Q34" s="6">
        <f t="shared" si="10"/>
        <v>1</v>
      </c>
      <c r="R34" s="6">
        <f t="shared" si="11"/>
        <v>1</v>
      </c>
      <c r="S34" s="6">
        <f t="shared" si="12"/>
        <v>0</v>
      </c>
      <c r="T34" s="6">
        <f t="shared" si="13"/>
        <v>0</v>
      </c>
      <c r="U34" s="6">
        <f t="shared" si="14"/>
        <v>1</v>
      </c>
      <c r="V34" s="6">
        <f t="shared" si="15"/>
        <v>0</v>
      </c>
      <c r="X34" s="25" t="s">
        <v>223</v>
      </c>
      <c r="Y34" s="25">
        <v>1747.9460515681237</v>
      </c>
      <c r="Z34" s="25">
        <v>2290.4874738248036</v>
      </c>
      <c r="AA34" s="25">
        <v>0.76313277044440275</v>
      </c>
      <c r="AB34" s="25">
        <v>0.44747255484682802</v>
      </c>
      <c r="AC34" s="25">
        <v>-2805.392255165244</v>
      </c>
      <c r="AD34" s="25">
        <v>6301.2843583014919</v>
      </c>
      <c r="AE34" s="25">
        <v>-2805.392255165244</v>
      </c>
      <c r="AF34" s="25">
        <v>6301.2843583014919</v>
      </c>
    </row>
    <row r="35" spans="1:32" ht="14.25" thickBot="1">
      <c r="A35" s="13">
        <v>18113</v>
      </c>
      <c r="B35" s="7">
        <v>7</v>
      </c>
      <c r="C35" s="6" t="s">
        <v>231</v>
      </c>
      <c r="D35" s="6">
        <v>12</v>
      </c>
      <c r="E35" s="6" t="s">
        <v>51</v>
      </c>
      <c r="F35" s="6" t="s">
        <v>60</v>
      </c>
      <c r="G35" s="6">
        <f t="shared" si="0"/>
        <v>0</v>
      </c>
      <c r="H35" s="6">
        <f t="shared" si="1"/>
        <v>0</v>
      </c>
      <c r="I35" s="6">
        <f t="shared" si="2"/>
        <v>0</v>
      </c>
      <c r="J35" s="6">
        <f t="shared" si="3"/>
        <v>1</v>
      </c>
      <c r="K35" s="6">
        <f t="shared" si="4"/>
        <v>0</v>
      </c>
      <c r="L35" s="6">
        <f t="shared" si="5"/>
        <v>0</v>
      </c>
      <c r="M35" s="6">
        <f t="shared" si="6"/>
        <v>0</v>
      </c>
      <c r="N35" s="6">
        <f t="shared" si="7"/>
        <v>1</v>
      </c>
      <c r="O35" s="6">
        <f t="shared" si="8"/>
        <v>0</v>
      </c>
      <c r="P35" s="6">
        <f t="shared" si="9"/>
        <v>0</v>
      </c>
      <c r="Q35" s="6">
        <f t="shared" si="10"/>
        <v>0</v>
      </c>
      <c r="R35" s="6">
        <f t="shared" si="11"/>
        <v>0</v>
      </c>
      <c r="S35" s="6">
        <f t="shared" si="12"/>
        <v>1</v>
      </c>
      <c r="T35" s="6">
        <f t="shared" si="13"/>
        <v>0</v>
      </c>
      <c r="U35" s="6">
        <f t="shared" si="14"/>
        <v>0</v>
      </c>
      <c r="V35" s="6">
        <f t="shared" si="15"/>
        <v>1</v>
      </c>
      <c r="X35" s="26" t="s">
        <v>224</v>
      </c>
      <c r="Y35" s="26">
        <v>-6928.3499907502719</v>
      </c>
      <c r="Z35" s="26">
        <v>1881.5486697012657</v>
      </c>
      <c r="AA35" s="26">
        <v>-3.682259248627509</v>
      </c>
      <c r="AB35" s="26">
        <v>4.0291992949006424E-4</v>
      </c>
      <c r="AC35" s="26">
        <v>-10668.744876834371</v>
      </c>
      <c r="AD35" s="26">
        <v>-3187.9551046661727</v>
      </c>
      <c r="AE35" s="26">
        <v>-10668.744876834371</v>
      </c>
      <c r="AF35" s="26">
        <v>-3187.9551046661727</v>
      </c>
    </row>
    <row r="36" spans="1:32">
      <c r="A36" s="13">
        <v>15467</v>
      </c>
      <c r="B36" s="7">
        <v>11</v>
      </c>
      <c r="C36" s="6" t="s">
        <v>225</v>
      </c>
      <c r="D36" s="6">
        <v>11</v>
      </c>
      <c r="E36" s="6" t="s">
        <v>51</v>
      </c>
      <c r="F36" s="6" t="s">
        <v>58</v>
      </c>
      <c r="G36" s="6">
        <f t="shared" si="0"/>
        <v>1</v>
      </c>
      <c r="H36" s="6">
        <f t="shared" si="1"/>
        <v>0</v>
      </c>
      <c r="I36" s="6">
        <f t="shared" si="2"/>
        <v>0</v>
      </c>
      <c r="J36" s="6">
        <f t="shared" si="3"/>
        <v>0</v>
      </c>
      <c r="K36" s="6">
        <f t="shared" si="4"/>
        <v>0</v>
      </c>
      <c r="L36" s="6">
        <f t="shared" si="5"/>
        <v>0</v>
      </c>
      <c r="M36" s="6">
        <f t="shared" si="6"/>
        <v>0</v>
      </c>
      <c r="N36" s="6">
        <f t="shared" si="7"/>
        <v>1</v>
      </c>
      <c r="O36" s="6">
        <f t="shared" si="8"/>
        <v>0</v>
      </c>
      <c r="P36" s="6">
        <f t="shared" si="9"/>
        <v>0</v>
      </c>
      <c r="Q36" s="6">
        <f t="shared" si="10"/>
        <v>0</v>
      </c>
      <c r="R36" s="6">
        <f t="shared" si="11"/>
        <v>0</v>
      </c>
      <c r="S36" s="6">
        <f t="shared" si="12"/>
        <v>1</v>
      </c>
      <c r="T36" s="6">
        <f t="shared" si="13"/>
        <v>0</v>
      </c>
      <c r="U36" s="6">
        <f t="shared" si="14"/>
        <v>0</v>
      </c>
      <c r="V36" s="6">
        <f t="shared" si="15"/>
        <v>1</v>
      </c>
      <c r="X36"/>
      <c r="Y36"/>
      <c r="Z36"/>
      <c r="AA36"/>
      <c r="AB36"/>
      <c r="AC36"/>
      <c r="AD36"/>
      <c r="AE36"/>
      <c r="AF36"/>
    </row>
    <row r="37" spans="1:32">
      <c r="A37" s="13">
        <v>38545</v>
      </c>
      <c r="B37" s="7">
        <v>7</v>
      </c>
      <c r="C37" s="6" t="s">
        <v>230</v>
      </c>
      <c r="D37" s="6">
        <v>17</v>
      </c>
      <c r="E37" s="6" t="s">
        <v>45</v>
      </c>
      <c r="F37" s="6" t="s">
        <v>39</v>
      </c>
      <c r="G37" s="6">
        <f t="shared" si="0"/>
        <v>0</v>
      </c>
      <c r="H37" s="6">
        <f t="shared" si="1"/>
        <v>0</v>
      </c>
      <c r="I37" s="6">
        <f t="shared" si="2"/>
        <v>1</v>
      </c>
      <c r="J37" s="6">
        <f t="shared" si="3"/>
        <v>0</v>
      </c>
      <c r="K37" s="6">
        <f t="shared" si="4"/>
        <v>0</v>
      </c>
      <c r="L37" s="6">
        <f t="shared" si="5"/>
        <v>0</v>
      </c>
      <c r="M37" s="6">
        <f t="shared" si="6"/>
        <v>0</v>
      </c>
      <c r="N37" s="6">
        <f t="shared" si="7"/>
        <v>0</v>
      </c>
      <c r="O37" s="6">
        <f t="shared" si="8"/>
        <v>0</v>
      </c>
      <c r="P37" s="6">
        <f t="shared" si="9"/>
        <v>1</v>
      </c>
      <c r="Q37" s="6">
        <f t="shared" si="10"/>
        <v>0</v>
      </c>
      <c r="R37" s="6">
        <f t="shared" si="11"/>
        <v>0</v>
      </c>
      <c r="S37" s="6">
        <f t="shared" si="12"/>
        <v>1</v>
      </c>
      <c r="T37" s="6">
        <f t="shared" si="13"/>
        <v>0</v>
      </c>
      <c r="U37" s="6">
        <f t="shared" si="14"/>
        <v>1</v>
      </c>
      <c r="V37" s="6">
        <f t="shared" si="15"/>
        <v>0</v>
      </c>
      <c r="X37" s="32" t="s">
        <v>226</v>
      </c>
      <c r="Y37" s="32" t="s">
        <v>228</v>
      </c>
      <c r="Z37" s="32" t="s">
        <v>243</v>
      </c>
      <c r="AA37" s="32" t="s">
        <v>232</v>
      </c>
      <c r="AB37" s="32" t="s">
        <v>234</v>
      </c>
      <c r="AC37" s="32" t="s">
        <v>236</v>
      </c>
      <c r="AD37" s="32" t="s">
        <v>238</v>
      </c>
      <c r="AE37" s="33" t="s">
        <v>240</v>
      </c>
    </row>
    <row r="38" spans="1:32">
      <c r="A38" s="13">
        <v>38647</v>
      </c>
      <c r="B38" s="7">
        <v>7</v>
      </c>
      <c r="C38" s="6" t="s">
        <v>230</v>
      </c>
      <c r="D38" s="6">
        <v>11</v>
      </c>
      <c r="E38" s="6" t="s">
        <v>42</v>
      </c>
      <c r="F38" s="6" t="s">
        <v>37</v>
      </c>
      <c r="G38" s="6">
        <f t="shared" si="0"/>
        <v>0</v>
      </c>
      <c r="H38" s="6">
        <f t="shared" si="1"/>
        <v>0</v>
      </c>
      <c r="I38" s="6">
        <f t="shared" si="2"/>
        <v>1</v>
      </c>
      <c r="J38" s="6">
        <f t="shared" si="3"/>
        <v>0</v>
      </c>
      <c r="K38" s="6">
        <f t="shared" si="4"/>
        <v>0</v>
      </c>
      <c r="L38" s="6">
        <f t="shared" si="5"/>
        <v>0</v>
      </c>
      <c r="M38" s="6">
        <f t="shared" si="6"/>
        <v>0</v>
      </c>
      <c r="N38" s="6">
        <f t="shared" si="7"/>
        <v>1</v>
      </c>
      <c r="O38" s="6">
        <f t="shared" si="8"/>
        <v>0</v>
      </c>
      <c r="P38" s="6">
        <f t="shared" si="9"/>
        <v>0</v>
      </c>
      <c r="Q38" s="6">
        <f t="shared" si="10"/>
        <v>0</v>
      </c>
      <c r="R38" s="6">
        <f t="shared" si="11"/>
        <v>1</v>
      </c>
      <c r="S38" s="6">
        <f t="shared" si="12"/>
        <v>0</v>
      </c>
      <c r="T38" s="6">
        <f t="shared" si="13"/>
        <v>1</v>
      </c>
      <c r="U38" s="6">
        <f t="shared" si="14"/>
        <v>0</v>
      </c>
      <c r="V38" s="6">
        <f t="shared" si="15"/>
        <v>0</v>
      </c>
      <c r="X38" s="34">
        <v>-2087.4240922782969</v>
      </c>
      <c r="Y38" s="34">
        <v>-5840.2731980275794</v>
      </c>
      <c r="Z38" s="34">
        <v>3885.8899891120827</v>
      </c>
      <c r="AA38" s="34">
        <v>6340.6288085542901</v>
      </c>
      <c r="AB38" s="34">
        <v>0</v>
      </c>
      <c r="AC38" s="34">
        <v>-4992.6210765468331</v>
      </c>
      <c r="AD38" s="34">
        <v>-7131.1381131691123</v>
      </c>
      <c r="AE38" s="34">
        <v>647.9531279375268</v>
      </c>
    </row>
    <row r="39" spans="1:32">
      <c r="A39" s="13">
        <v>18572</v>
      </c>
      <c r="B39" s="7">
        <v>11</v>
      </c>
      <c r="C39" s="6" t="s">
        <v>237</v>
      </c>
      <c r="D39" s="6">
        <v>20</v>
      </c>
      <c r="E39" s="6" t="s">
        <v>42</v>
      </c>
      <c r="F39" s="6" t="s">
        <v>37</v>
      </c>
      <c r="G39" s="6">
        <f t="shared" si="0"/>
        <v>0</v>
      </c>
      <c r="H39" s="6">
        <f t="shared" si="1"/>
        <v>0</v>
      </c>
      <c r="I39" s="6">
        <f t="shared" si="2"/>
        <v>0</v>
      </c>
      <c r="J39" s="6">
        <f t="shared" si="3"/>
        <v>0</v>
      </c>
      <c r="K39" s="6">
        <f t="shared" si="4"/>
        <v>0</v>
      </c>
      <c r="L39" s="6">
        <f t="shared" si="5"/>
        <v>0</v>
      </c>
      <c r="M39" s="6">
        <f t="shared" si="6"/>
        <v>1</v>
      </c>
      <c r="N39" s="6">
        <f t="shared" si="7"/>
        <v>0</v>
      </c>
      <c r="O39" s="6">
        <f t="shared" si="8"/>
        <v>0</v>
      </c>
      <c r="P39" s="6">
        <f t="shared" si="9"/>
        <v>0</v>
      </c>
      <c r="Q39" s="6">
        <f t="shared" si="10"/>
        <v>1</v>
      </c>
      <c r="R39" s="6">
        <f t="shared" si="11"/>
        <v>1</v>
      </c>
      <c r="S39" s="6">
        <f t="shared" si="12"/>
        <v>0</v>
      </c>
      <c r="T39" s="6">
        <f t="shared" si="13"/>
        <v>1</v>
      </c>
      <c r="U39" s="6">
        <f t="shared" si="14"/>
        <v>0</v>
      </c>
      <c r="V39" s="6">
        <f t="shared" si="15"/>
        <v>0</v>
      </c>
      <c r="X39" s="35" t="s">
        <v>239</v>
      </c>
      <c r="Y39" s="33" t="s">
        <v>241</v>
      </c>
      <c r="Z39" s="33" t="s">
        <v>242</v>
      </c>
      <c r="AA39" s="32" t="s">
        <v>215</v>
      </c>
      <c r="AB39" s="32" t="s">
        <v>216</v>
      </c>
      <c r="AC39" s="32" t="s">
        <v>38</v>
      </c>
      <c r="AD39" s="32" t="s">
        <v>40</v>
      </c>
      <c r="AE39" s="32" t="s">
        <v>41</v>
      </c>
    </row>
    <row r="40" spans="1:32">
      <c r="A40" s="13">
        <v>7323</v>
      </c>
      <c r="B40" s="7">
        <v>3</v>
      </c>
      <c r="C40" s="6" t="s">
        <v>227</v>
      </c>
      <c r="D40" s="6">
        <v>19</v>
      </c>
      <c r="E40" s="6" t="s">
        <v>51</v>
      </c>
      <c r="F40" s="6" t="s">
        <v>35</v>
      </c>
      <c r="G40" s="6">
        <f t="shared" si="0"/>
        <v>0</v>
      </c>
      <c r="H40" s="6">
        <f t="shared" si="1"/>
        <v>1</v>
      </c>
      <c r="I40" s="6">
        <f t="shared" si="2"/>
        <v>0</v>
      </c>
      <c r="J40" s="6">
        <f t="shared" si="3"/>
        <v>0</v>
      </c>
      <c r="K40" s="6">
        <f t="shared" si="4"/>
        <v>0</v>
      </c>
      <c r="L40" s="6">
        <f t="shared" si="5"/>
        <v>0</v>
      </c>
      <c r="M40" s="6">
        <f t="shared" si="6"/>
        <v>0</v>
      </c>
      <c r="N40" s="6">
        <f t="shared" si="7"/>
        <v>0</v>
      </c>
      <c r="O40" s="6">
        <f t="shared" si="8"/>
        <v>0</v>
      </c>
      <c r="P40" s="6">
        <f t="shared" si="9"/>
        <v>0</v>
      </c>
      <c r="Q40" s="6">
        <f t="shared" si="10"/>
        <v>1</v>
      </c>
      <c r="R40" s="6">
        <f t="shared" si="11"/>
        <v>0</v>
      </c>
      <c r="S40" s="6">
        <f t="shared" si="12"/>
        <v>1</v>
      </c>
      <c r="T40" s="6">
        <f t="shared" si="13"/>
        <v>1</v>
      </c>
      <c r="U40" s="6">
        <f t="shared" si="14"/>
        <v>0</v>
      </c>
      <c r="V40" s="6">
        <f t="shared" si="15"/>
        <v>0</v>
      </c>
      <c r="X40" s="34">
        <v>0</v>
      </c>
      <c r="Y40" s="34">
        <v>2621.6138387879264</v>
      </c>
      <c r="Z40" s="34">
        <v>995.5503728629385</v>
      </c>
      <c r="AA40" s="34">
        <v>394.06833171324337</v>
      </c>
      <c r="AB40" s="34">
        <v>0</v>
      </c>
      <c r="AC40" s="34">
        <v>0</v>
      </c>
      <c r="AD40" s="34">
        <v>1747.9460515681237</v>
      </c>
      <c r="AE40" s="34">
        <v>-6928.3499907502719</v>
      </c>
    </row>
    <row r="41" spans="1:32">
      <c r="A41" s="13">
        <v>23949</v>
      </c>
      <c r="B41" s="7">
        <v>13</v>
      </c>
      <c r="C41" s="6" t="s">
        <v>227</v>
      </c>
      <c r="D41" s="6">
        <v>10</v>
      </c>
      <c r="E41" s="6" t="s">
        <v>45</v>
      </c>
      <c r="F41" s="6" t="s">
        <v>39</v>
      </c>
      <c r="G41" s="6">
        <f t="shared" si="0"/>
        <v>0</v>
      </c>
      <c r="H41" s="6">
        <f t="shared" si="1"/>
        <v>1</v>
      </c>
      <c r="I41" s="6">
        <f t="shared" si="2"/>
        <v>0</v>
      </c>
      <c r="J41" s="6">
        <f t="shared" si="3"/>
        <v>0</v>
      </c>
      <c r="K41" s="6">
        <f t="shared" si="4"/>
        <v>0</v>
      </c>
      <c r="L41" s="6">
        <f t="shared" si="5"/>
        <v>0</v>
      </c>
      <c r="M41" s="6">
        <f t="shared" si="6"/>
        <v>0</v>
      </c>
      <c r="N41" s="6">
        <f t="shared" si="7"/>
        <v>1</v>
      </c>
      <c r="O41" s="6">
        <f t="shared" si="8"/>
        <v>0</v>
      </c>
      <c r="P41" s="6">
        <f t="shared" si="9"/>
        <v>0</v>
      </c>
      <c r="Q41" s="6">
        <f t="shared" si="10"/>
        <v>0</v>
      </c>
      <c r="R41" s="6">
        <f t="shared" si="11"/>
        <v>0</v>
      </c>
      <c r="S41" s="6">
        <f t="shared" si="12"/>
        <v>1</v>
      </c>
      <c r="T41" s="6">
        <f t="shared" si="13"/>
        <v>0</v>
      </c>
      <c r="U41" s="6">
        <f t="shared" si="14"/>
        <v>1</v>
      </c>
      <c r="V41" s="6">
        <f t="shared" si="15"/>
        <v>0</v>
      </c>
    </row>
    <row r="42" spans="1:32">
      <c r="A42" s="13">
        <v>9897</v>
      </c>
      <c r="B42" s="7">
        <v>8</v>
      </c>
      <c r="C42" s="6" t="s">
        <v>233</v>
      </c>
      <c r="D42" s="6">
        <v>11</v>
      </c>
      <c r="E42" s="6" t="s">
        <v>51</v>
      </c>
      <c r="F42" s="6" t="s">
        <v>58</v>
      </c>
      <c r="G42" s="6">
        <f t="shared" si="0"/>
        <v>0</v>
      </c>
      <c r="H42" s="6">
        <f t="shared" si="1"/>
        <v>0</v>
      </c>
      <c r="I42" s="6">
        <f t="shared" si="2"/>
        <v>0</v>
      </c>
      <c r="J42" s="6">
        <f t="shared" si="3"/>
        <v>0</v>
      </c>
      <c r="K42" s="6">
        <f t="shared" si="4"/>
        <v>1</v>
      </c>
      <c r="L42" s="6">
        <f t="shared" si="5"/>
        <v>0</v>
      </c>
      <c r="M42" s="6">
        <f t="shared" si="6"/>
        <v>0</v>
      </c>
      <c r="N42" s="6">
        <f t="shared" si="7"/>
        <v>1</v>
      </c>
      <c r="O42" s="6">
        <f t="shared" si="8"/>
        <v>0</v>
      </c>
      <c r="P42" s="6">
        <f t="shared" si="9"/>
        <v>0</v>
      </c>
      <c r="Q42" s="6">
        <f t="shared" si="10"/>
        <v>0</v>
      </c>
      <c r="R42" s="6">
        <f t="shared" si="11"/>
        <v>0</v>
      </c>
      <c r="S42" s="6">
        <f t="shared" si="12"/>
        <v>1</v>
      </c>
      <c r="T42" s="6">
        <f t="shared" si="13"/>
        <v>0</v>
      </c>
      <c r="U42" s="6">
        <f t="shared" si="14"/>
        <v>0</v>
      </c>
      <c r="V42" s="6">
        <f t="shared" si="15"/>
        <v>1</v>
      </c>
    </row>
    <row r="43" spans="1:32">
      <c r="A43" s="13">
        <v>21516</v>
      </c>
      <c r="B43" s="7">
        <v>9</v>
      </c>
      <c r="C43" s="6" t="s">
        <v>233</v>
      </c>
      <c r="D43" s="6">
        <v>17</v>
      </c>
      <c r="E43" s="6" t="s">
        <v>45</v>
      </c>
      <c r="F43" s="6" t="s">
        <v>58</v>
      </c>
      <c r="G43" s="6">
        <f t="shared" si="0"/>
        <v>0</v>
      </c>
      <c r="H43" s="6">
        <f t="shared" si="1"/>
        <v>0</v>
      </c>
      <c r="I43" s="6">
        <f t="shared" si="2"/>
        <v>0</v>
      </c>
      <c r="J43" s="6">
        <f t="shared" si="3"/>
        <v>0</v>
      </c>
      <c r="K43" s="6">
        <f t="shared" si="4"/>
        <v>1</v>
      </c>
      <c r="L43" s="6">
        <f t="shared" si="5"/>
        <v>0</v>
      </c>
      <c r="M43" s="6">
        <f t="shared" si="6"/>
        <v>0</v>
      </c>
      <c r="N43" s="6">
        <f t="shared" si="7"/>
        <v>0</v>
      </c>
      <c r="O43" s="6">
        <f t="shared" si="8"/>
        <v>0</v>
      </c>
      <c r="P43" s="6">
        <f t="shared" si="9"/>
        <v>1</v>
      </c>
      <c r="Q43" s="6">
        <f t="shared" si="10"/>
        <v>0</v>
      </c>
      <c r="R43" s="6">
        <f t="shared" si="11"/>
        <v>0</v>
      </c>
      <c r="S43" s="6">
        <f t="shared" si="12"/>
        <v>1</v>
      </c>
      <c r="T43" s="6">
        <f t="shared" si="13"/>
        <v>0</v>
      </c>
      <c r="U43" s="6">
        <f t="shared" si="14"/>
        <v>0</v>
      </c>
      <c r="V43" s="6">
        <f t="shared" si="15"/>
        <v>1</v>
      </c>
    </row>
    <row r="44" spans="1:32">
      <c r="A44" s="13">
        <v>16948</v>
      </c>
      <c r="B44" s="7">
        <v>6</v>
      </c>
      <c r="C44" s="6" t="s">
        <v>227</v>
      </c>
      <c r="D44" s="6">
        <v>13</v>
      </c>
      <c r="E44" s="6" t="s">
        <v>47</v>
      </c>
      <c r="F44" s="6" t="s">
        <v>58</v>
      </c>
      <c r="G44" s="6">
        <f t="shared" si="0"/>
        <v>0</v>
      </c>
      <c r="H44" s="6">
        <f t="shared" si="1"/>
        <v>1</v>
      </c>
      <c r="I44" s="6">
        <f t="shared" si="2"/>
        <v>0</v>
      </c>
      <c r="J44" s="6">
        <f t="shared" si="3"/>
        <v>0</v>
      </c>
      <c r="K44" s="6">
        <f t="shared" si="4"/>
        <v>0</v>
      </c>
      <c r="L44" s="6">
        <f t="shared" si="5"/>
        <v>0</v>
      </c>
      <c r="M44" s="6">
        <f t="shared" si="6"/>
        <v>0</v>
      </c>
      <c r="N44" s="6">
        <f t="shared" si="7"/>
        <v>0</v>
      </c>
      <c r="O44" s="6">
        <f t="shared" si="8"/>
        <v>1</v>
      </c>
      <c r="P44" s="6">
        <f t="shared" si="9"/>
        <v>0</v>
      </c>
      <c r="Q44" s="6">
        <f t="shared" si="10"/>
        <v>0</v>
      </c>
      <c r="R44" s="6">
        <f t="shared" si="11"/>
        <v>0</v>
      </c>
      <c r="S44" s="6">
        <f t="shared" si="12"/>
        <v>1</v>
      </c>
      <c r="T44" s="6">
        <f t="shared" si="13"/>
        <v>0</v>
      </c>
      <c r="U44" s="6">
        <f t="shared" si="14"/>
        <v>0</v>
      </c>
      <c r="V44" s="6">
        <f t="shared" si="15"/>
        <v>1</v>
      </c>
      <c r="Z44" s="25"/>
    </row>
    <row r="45" spans="1:32">
      <c r="A45" s="13">
        <v>32489</v>
      </c>
      <c r="B45" s="7">
        <v>15</v>
      </c>
      <c r="C45" s="6" t="s">
        <v>225</v>
      </c>
      <c r="D45" s="6">
        <v>14</v>
      </c>
      <c r="E45" s="6" t="s">
        <v>49</v>
      </c>
      <c r="F45" s="6" t="s">
        <v>39</v>
      </c>
      <c r="G45" s="6">
        <f t="shared" si="0"/>
        <v>1</v>
      </c>
      <c r="H45" s="6">
        <f t="shared" si="1"/>
        <v>0</v>
      </c>
      <c r="I45" s="6">
        <f t="shared" si="2"/>
        <v>0</v>
      </c>
      <c r="J45" s="6">
        <f t="shared" si="3"/>
        <v>0</v>
      </c>
      <c r="K45" s="6">
        <f t="shared" si="4"/>
        <v>0</v>
      </c>
      <c r="L45" s="6">
        <f t="shared" si="5"/>
        <v>0</v>
      </c>
      <c r="M45" s="6">
        <f t="shared" si="6"/>
        <v>0</v>
      </c>
      <c r="N45" s="6">
        <f t="shared" si="7"/>
        <v>0</v>
      </c>
      <c r="O45" s="6">
        <f t="shared" si="8"/>
        <v>1</v>
      </c>
      <c r="P45" s="6">
        <f t="shared" si="9"/>
        <v>0</v>
      </c>
      <c r="Q45" s="6">
        <f t="shared" si="10"/>
        <v>0</v>
      </c>
      <c r="R45" s="6">
        <f t="shared" si="11"/>
        <v>0</v>
      </c>
      <c r="S45" s="6">
        <f t="shared" si="12"/>
        <v>1</v>
      </c>
      <c r="T45" s="6">
        <f t="shared" si="13"/>
        <v>0</v>
      </c>
      <c r="U45" s="6">
        <f t="shared" si="14"/>
        <v>1</v>
      </c>
      <c r="V45" s="6">
        <f t="shared" si="15"/>
        <v>0</v>
      </c>
    </row>
    <row r="46" spans="1:32">
      <c r="A46" s="13">
        <v>18548</v>
      </c>
      <c r="B46" s="7">
        <v>11</v>
      </c>
      <c r="C46" s="6" t="s">
        <v>237</v>
      </c>
      <c r="D46" s="6">
        <v>22</v>
      </c>
      <c r="E46" s="6" t="s">
        <v>18</v>
      </c>
      <c r="F46" s="6" t="s">
        <v>39</v>
      </c>
      <c r="G46" s="6">
        <f t="shared" si="0"/>
        <v>0</v>
      </c>
      <c r="H46" s="6">
        <f t="shared" si="1"/>
        <v>0</v>
      </c>
      <c r="I46" s="6">
        <f t="shared" si="2"/>
        <v>0</v>
      </c>
      <c r="J46" s="6">
        <f t="shared" si="3"/>
        <v>0</v>
      </c>
      <c r="K46" s="6">
        <f t="shared" si="4"/>
        <v>0</v>
      </c>
      <c r="L46" s="6">
        <f t="shared" si="5"/>
        <v>0</v>
      </c>
      <c r="M46" s="6">
        <f t="shared" si="6"/>
        <v>1</v>
      </c>
      <c r="N46" s="6">
        <f t="shared" si="7"/>
        <v>0</v>
      </c>
      <c r="O46" s="6">
        <f t="shared" si="8"/>
        <v>0</v>
      </c>
      <c r="P46" s="6">
        <f t="shared" si="9"/>
        <v>0</v>
      </c>
      <c r="Q46" s="6">
        <f t="shared" si="10"/>
        <v>1</v>
      </c>
      <c r="R46" s="6">
        <f t="shared" si="11"/>
        <v>0</v>
      </c>
      <c r="S46" s="6">
        <f t="shared" si="12"/>
        <v>1</v>
      </c>
      <c r="T46" s="6">
        <f t="shared" si="13"/>
        <v>0</v>
      </c>
      <c r="U46" s="6">
        <f t="shared" si="14"/>
        <v>1</v>
      </c>
      <c r="V46" s="6">
        <f t="shared" si="15"/>
        <v>0</v>
      </c>
    </row>
    <row r="47" spans="1:32">
      <c r="A47" s="13">
        <v>8710</v>
      </c>
      <c r="B47" s="7">
        <v>14</v>
      </c>
      <c r="C47" s="6" t="s">
        <v>235</v>
      </c>
      <c r="D47" s="6">
        <v>19</v>
      </c>
      <c r="E47" s="6" t="s">
        <v>51</v>
      </c>
      <c r="F47" s="6" t="s">
        <v>58</v>
      </c>
      <c r="G47" s="6">
        <f t="shared" si="0"/>
        <v>0</v>
      </c>
      <c r="H47" s="6">
        <f t="shared" si="1"/>
        <v>0</v>
      </c>
      <c r="I47" s="6">
        <f t="shared" si="2"/>
        <v>0</v>
      </c>
      <c r="J47" s="6">
        <f t="shared" si="3"/>
        <v>0</v>
      </c>
      <c r="K47" s="6">
        <f t="shared" si="4"/>
        <v>0</v>
      </c>
      <c r="L47" s="6">
        <f t="shared" si="5"/>
        <v>1</v>
      </c>
      <c r="M47" s="6">
        <f t="shared" si="6"/>
        <v>0</v>
      </c>
      <c r="N47" s="6">
        <f t="shared" si="7"/>
        <v>0</v>
      </c>
      <c r="O47" s="6">
        <f t="shared" si="8"/>
        <v>0</v>
      </c>
      <c r="P47" s="6">
        <f t="shared" si="9"/>
        <v>0</v>
      </c>
      <c r="Q47" s="6">
        <f t="shared" si="10"/>
        <v>1</v>
      </c>
      <c r="R47" s="6">
        <f t="shared" si="11"/>
        <v>0</v>
      </c>
      <c r="S47" s="6">
        <f t="shared" si="12"/>
        <v>1</v>
      </c>
      <c r="T47" s="6">
        <f t="shared" si="13"/>
        <v>0</v>
      </c>
      <c r="U47" s="6">
        <f t="shared" si="14"/>
        <v>0</v>
      </c>
      <c r="V47" s="6">
        <f t="shared" si="15"/>
        <v>1</v>
      </c>
    </row>
    <row r="48" spans="1:32">
      <c r="A48" s="13">
        <v>36404</v>
      </c>
      <c r="B48" s="7">
        <v>9</v>
      </c>
      <c r="C48" s="6" t="s">
        <v>225</v>
      </c>
      <c r="D48" s="6">
        <v>17</v>
      </c>
      <c r="E48" s="6" t="s">
        <v>47</v>
      </c>
      <c r="F48" s="6" t="s">
        <v>37</v>
      </c>
      <c r="G48" s="6">
        <f t="shared" si="0"/>
        <v>1</v>
      </c>
      <c r="H48" s="6">
        <f t="shared" si="1"/>
        <v>0</v>
      </c>
      <c r="I48" s="6">
        <f t="shared" si="2"/>
        <v>0</v>
      </c>
      <c r="J48" s="6">
        <f t="shared" si="3"/>
        <v>0</v>
      </c>
      <c r="K48" s="6">
        <f t="shared" si="4"/>
        <v>0</v>
      </c>
      <c r="L48" s="6">
        <f t="shared" si="5"/>
        <v>0</v>
      </c>
      <c r="M48" s="6">
        <f t="shared" si="6"/>
        <v>0</v>
      </c>
      <c r="N48" s="6">
        <f t="shared" si="7"/>
        <v>0</v>
      </c>
      <c r="O48" s="6">
        <f t="shared" si="8"/>
        <v>0</v>
      </c>
      <c r="P48" s="6">
        <f t="shared" si="9"/>
        <v>1</v>
      </c>
      <c r="Q48" s="6">
        <f t="shared" si="10"/>
        <v>0</v>
      </c>
      <c r="R48" s="6">
        <f t="shared" si="11"/>
        <v>0</v>
      </c>
      <c r="S48" s="6">
        <f t="shared" si="12"/>
        <v>1</v>
      </c>
      <c r="T48" s="6">
        <f t="shared" si="13"/>
        <v>1</v>
      </c>
      <c r="U48" s="6">
        <f t="shared" si="14"/>
        <v>0</v>
      </c>
      <c r="V48" s="6">
        <f t="shared" si="15"/>
        <v>0</v>
      </c>
    </row>
    <row r="49" spans="1:22">
      <c r="A49" s="13">
        <v>30722</v>
      </c>
      <c r="B49" s="7">
        <v>3</v>
      </c>
      <c r="C49" s="6" t="s">
        <v>230</v>
      </c>
      <c r="D49" s="6">
        <v>12</v>
      </c>
      <c r="E49" s="6" t="s">
        <v>51</v>
      </c>
      <c r="F49" s="6" t="s">
        <v>37</v>
      </c>
      <c r="G49" s="6">
        <f t="shared" si="0"/>
        <v>0</v>
      </c>
      <c r="H49" s="6">
        <f t="shared" si="1"/>
        <v>0</v>
      </c>
      <c r="I49" s="6">
        <f t="shared" si="2"/>
        <v>1</v>
      </c>
      <c r="J49" s="6">
        <f t="shared" si="3"/>
        <v>0</v>
      </c>
      <c r="K49" s="6">
        <f t="shared" si="4"/>
        <v>0</v>
      </c>
      <c r="L49" s="6">
        <f t="shared" si="5"/>
        <v>0</v>
      </c>
      <c r="M49" s="6">
        <f t="shared" si="6"/>
        <v>0</v>
      </c>
      <c r="N49" s="6">
        <f t="shared" si="7"/>
        <v>1</v>
      </c>
      <c r="O49" s="6">
        <f t="shared" si="8"/>
        <v>0</v>
      </c>
      <c r="P49" s="6">
        <f t="shared" si="9"/>
        <v>0</v>
      </c>
      <c r="Q49" s="6">
        <f t="shared" si="10"/>
        <v>0</v>
      </c>
      <c r="R49" s="6">
        <f t="shared" si="11"/>
        <v>0</v>
      </c>
      <c r="S49" s="6">
        <f t="shared" si="12"/>
        <v>1</v>
      </c>
      <c r="T49" s="6">
        <f t="shared" si="13"/>
        <v>1</v>
      </c>
      <c r="U49" s="6">
        <f t="shared" si="14"/>
        <v>0</v>
      </c>
      <c r="V49" s="6">
        <f t="shared" si="15"/>
        <v>0</v>
      </c>
    </row>
    <row r="50" spans="1:22">
      <c r="A50" s="13">
        <v>28864</v>
      </c>
      <c r="B50" s="7">
        <v>15</v>
      </c>
      <c r="C50" s="6" t="s">
        <v>227</v>
      </c>
      <c r="D50" s="6">
        <v>16</v>
      </c>
      <c r="E50" s="6" t="s">
        <v>49</v>
      </c>
      <c r="F50" s="6" t="s">
        <v>35</v>
      </c>
      <c r="G50" s="6">
        <f t="shared" si="0"/>
        <v>0</v>
      </c>
      <c r="H50" s="6">
        <f t="shared" si="1"/>
        <v>1</v>
      </c>
      <c r="I50" s="6">
        <f t="shared" si="2"/>
        <v>0</v>
      </c>
      <c r="J50" s="6">
        <f t="shared" si="3"/>
        <v>0</v>
      </c>
      <c r="K50" s="6">
        <f t="shared" si="4"/>
        <v>0</v>
      </c>
      <c r="L50" s="6">
        <f t="shared" si="5"/>
        <v>0</v>
      </c>
      <c r="M50" s="6">
        <f t="shared" si="6"/>
        <v>0</v>
      </c>
      <c r="N50" s="6">
        <f t="shared" si="7"/>
        <v>0</v>
      </c>
      <c r="O50" s="6">
        <f t="shared" si="8"/>
        <v>0</v>
      </c>
      <c r="P50" s="6">
        <f t="shared" si="9"/>
        <v>1</v>
      </c>
      <c r="Q50" s="6">
        <f t="shared" si="10"/>
        <v>0</v>
      </c>
      <c r="R50" s="6">
        <f t="shared" si="11"/>
        <v>0</v>
      </c>
      <c r="S50" s="6">
        <f t="shared" si="12"/>
        <v>1</v>
      </c>
      <c r="T50" s="6">
        <f t="shared" si="13"/>
        <v>1</v>
      </c>
      <c r="U50" s="6">
        <f t="shared" si="14"/>
        <v>0</v>
      </c>
      <c r="V50" s="6">
        <f t="shared" si="15"/>
        <v>0</v>
      </c>
    </row>
    <row r="51" spans="1:22">
      <c r="A51" s="13">
        <v>40721</v>
      </c>
      <c r="B51" s="7">
        <v>8</v>
      </c>
      <c r="C51" s="6" t="s">
        <v>229</v>
      </c>
      <c r="D51" s="6">
        <v>17</v>
      </c>
      <c r="E51" s="6" t="s">
        <v>49</v>
      </c>
      <c r="F51" s="6" t="s">
        <v>39</v>
      </c>
      <c r="G51" s="6">
        <f t="shared" si="0"/>
        <v>0</v>
      </c>
      <c r="H51" s="6">
        <f t="shared" si="1"/>
        <v>0</v>
      </c>
      <c r="I51" s="6">
        <f t="shared" si="2"/>
        <v>1</v>
      </c>
      <c r="J51" s="6">
        <f t="shared" si="3"/>
        <v>0</v>
      </c>
      <c r="K51" s="6">
        <f t="shared" si="4"/>
        <v>0</v>
      </c>
      <c r="L51" s="6">
        <f t="shared" si="5"/>
        <v>0</v>
      </c>
      <c r="M51" s="6">
        <f t="shared" si="6"/>
        <v>0</v>
      </c>
      <c r="N51" s="6">
        <f t="shared" si="7"/>
        <v>0</v>
      </c>
      <c r="O51" s="6">
        <f t="shared" si="8"/>
        <v>0</v>
      </c>
      <c r="P51" s="6">
        <f t="shared" si="9"/>
        <v>1</v>
      </c>
      <c r="Q51" s="6">
        <f t="shared" si="10"/>
        <v>0</v>
      </c>
      <c r="R51" s="6">
        <f t="shared" si="11"/>
        <v>0</v>
      </c>
      <c r="S51" s="6">
        <f t="shared" si="12"/>
        <v>1</v>
      </c>
      <c r="T51" s="6">
        <f t="shared" si="13"/>
        <v>0</v>
      </c>
      <c r="U51" s="6">
        <f t="shared" si="14"/>
        <v>1</v>
      </c>
      <c r="V51" s="6">
        <f t="shared" si="15"/>
        <v>0</v>
      </c>
    </row>
    <row r="52" spans="1:22">
      <c r="A52" s="13">
        <v>16121</v>
      </c>
      <c r="B52" s="7">
        <v>7</v>
      </c>
      <c r="C52" s="6" t="s">
        <v>235</v>
      </c>
      <c r="D52" s="6">
        <v>16</v>
      </c>
      <c r="E52" s="6" t="s">
        <v>53</v>
      </c>
      <c r="F52" s="6" t="s">
        <v>35</v>
      </c>
      <c r="G52" s="6">
        <f t="shared" si="0"/>
        <v>0</v>
      </c>
      <c r="H52" s="6">
        <f t="shared" si="1"/>
        <v>0</v>
      </c>
      <c r="I52" s="6">
        <f t="shared" si="2"/>
        <v>0</v>
      </c>
      <c r="J52" s="6">
        <f t="shared" si="3"/>
        <v>0</v>
      </c>
      <c r="K52" s="6">
        <f t="shared" si="4"/>
        <v>0</v>
      </c>
      <c r="L52" s="6">
        <f t="shared" si="5"/>
        <v>1</v>
      </c>
      <c r="M52" s="6">
        <f t="shared" si="6"/>
        <v>0</v>
      </c>
      <c r="N52" s="6">
        <f t="shared" si="7"/>
        <v>0</v>
      </c>
      <c r="O52" s="6">
        <f t="shared" si="8"/>
        <v>0</v>
      </c>
      <c r="P52" s="6">
        <f t="shared" si="9"/>
        <v>1</v>
      </c>
      <c r="Q52" s="6">
        <f t="shared" si="10"/>
        <v>0</v>
      </c>
      <c r="R52" s="6">
        <f t="shared" si="11"/>
        <v>1</v>
      </c>
      <c r="S52" s="6">
        <f t="shared" si="12"/>
        <v>0</v>
      </c>
      <c r="T52" s="6">
        <f t="shared" si="13"/>
        <v>1</v>
      </c>
      <c r="U52" s="6">
        <f t="shared" si="14"/>
        <v>0</v>
      </c>
      <c r="V52" s="6">
        <f t="shared" si="15"/>
        <v>0</v>
      </c>
    </row>
    <row r="53" spans="1:22">
      <c r="A53" s="13">
        <v>26352</v>
      </c>
      <c r="B53" s="7">
        <v>14</v>
      </c>
      <c r="C53" s="6" t="s">
        <v>229</v>
      </c>
      <c r="D53" s="6">
        <v>13</v>
      </c>
      <c r="E53" s="6" t="s">
        <v>45</v>
      </c>
      <c r="F53" s="6" t="s">
        <v>35</v>
      </c>
      <c r="G53" s="6">
        <f t="shared" si="0"/>
        <v>0</v>
      </c>
      <c r="H53" s="6">
        <f t="shared" si="1"/>
        <v>0</v>
      </c>
      <c r="I53" s="6">
        <f t="shared" si="2"/>
        <v>1</v>
      </c>
      <c r="J53" s="6">
        <f t="shared" si="3"/>
        <v>0</v>
      </c>
      <c r="K53" s="6">
        <f t="shared" si="4"/>
        <v>0</v>
      </c>
      <c r="L53" s="6">
        <f t="shared" si="5"/>
        <v>0</v>
      </c>
      <c r="M53" s="6">
        <f t="shared" si="6"/>
        <v>0</v>
      </c>
      <c r="N53" s="6">
        <f t="shared" si="7"/>
        <v>0</v>
      </c>
      <c r="O53" s="6">
        <f t="shared" si="8"/>
        <v>1</v>
      </c>
      <c r="P53" s="6">
        <f t="shared" si="9"/>
        <v>0</v>
      </c>
      <c r="Q53" s="6">
        <f t="shared" si="10"/>
        <v>0</v>
      </c>
      <c r="R53" s="6">
        <f t="shared" si="11"/>
        <v>0</v>
      </c>
      <c r="S53" s="6">
        <f t="shared" si="12"/>
        <v>1</v>
      </c>
      <c r="T53" s="6">
        <f t="shared" si="13"/>
        <v>1</v>
      </c>
      <c r="U53" s="6">
        <f t="shared" si="14"/>
        <v>0</v>
      </c>
      <c r="V53" s="6">
        <f t="shared" si="15"/>
        <v>0</v>
      </c>
    </row>
    <row r="54" spans="1:22">
      <c r="A54" s="13">
        <v>17149</v>
      </c>
      <c r="B54" s="7">
        <v>12</v>
      </c>
      <c r="C54" s="6" t="s">
        <v>237</v>
      </c>
      <c r="D54" s="6">
        <v>15</v>
      </c>
      <c r="E54" s="6" t="s">
        <v>49</v>
      </c>
      <c r="F54" s="6" t="s">
        <v>58</v>
      </c>
      <c r="G54" s="6">
        <f t="shared" si="0"/>
        <v>0</v>
      </c>
      <c r="H54" s="6">
        <f t="shared" si="1"/>
        <v>0</v>
      </c>
      <c r="I54" s="6">
        <f t="shared" si="2"/>
        <v>0</v>
      </c>
      <c r="J54" s="6">
        <f t="shared" si="3"/>
        <v>0</v>
      </c>
      <c r="K54" s="6">
        <f t="shared" si="4"/>
        <v>0</v>
      </c>
      <c r="L54" s="6">
        <f t="shared" si="5"/>
        <v>0</v>
      </c>
      <c r="M54" s="6">
        <f t="shared" si="6"/>
        <v>1</v>
      </c>
      <c r="N54" s="6">
        <f t="shared" si="7"/>
        <v>0</v>
      </c>
      <c r="O54" s="6">
        <f t="shared" si="8"/>
        <v>1</v>
      </c>
      <c r="P54" s="6">
        <f t="shared" si="9"/>
        <v>0</v>
      </c>
      <c r="Q54" s="6">
        <f t="shared" si="10"/>
        <v>0</v>
      </c>
      <c r="R54" s="6">
        <f t="shared" si="11"/>
        <v>0</v>
      </c>
      <c r="S54" s="6">
        <f t="shared" si="12"/>
        <v>1</v>
      </c>
      <c r="T54" s="6">
        <f t="shared" si="13"/>
        <v>0</v>
      </c>
      <c r="U54" s="6">
        <f t="shared" si="14"/>
        <v>0</v>
      </c>
      <c r="V54" s="6">
        <f t="shared" si="15"/>
        <v>1</v>
      </c>
    </row>
    <row r="55" spans="1:22">
      <c r="A55" s="13">
        <v>9357</v>
      </c>
      <c r="B55" s="7">
        <v>11</v>
      </c>
      <c r="C55" s="6" t="s">
        <v>233</v>
      </c>
      <c r="D55" s="6">
        <v>20</v>
      </c>
      <c r="E55" s="6" t="s">
        <v>18</v>
      </c>
      <c r="F55" s="6" t="s">
        <v>35</v>
      </c>
      <c r="G55" s="6">
        <f t="shared" si="0"/>
        <v>0</v>
      </c>
      <c r="H55" s="6">
        <f t="shared" si="1"/>
        <v>0</v>
      </c>
      <c r="I55" s="6">
        <f t="shared" si="2"/>
        <v>0</v>
      </c>
      <c r="J55" s="6">
        <f t="shared" si="3"/>
        <v>0</v>
      </c>
      <c r="K55" s="6">
        <f t="shared" si="4"/>
        <v>1</v>
      </c>
      <c r="L55" s="6">
        <f t="shared" si="5"/>
        <v>0</v>
      </c>
      <c r="M55" s="6">
        <f t="shared" si="6"/>
        <v>0</v>
      </c>
      <c r="N55" s="6">
        <f t="shared" si="7"/>
        <v>0</v>
      </c>
      <c r="O55" s="6">
        <f t="shared" si="8"/>
        <v>0</v>
      </c>
      <c r="P55" s="6">
        <f t="shared" si="9"/>
        <v>0</v>
      </c>
      <c r="Q55" s="6">
        <f t="shared" si="10"/>
        <v>1</v>
      </c>
      <c r="R55" s="6">
        <f t="shared" si="11"/>
        <v>0</v>
      </c>
      <c r="S55" s="6">
        <f t="shared" si="12"/>
        <v>1</v>
      </c>
      <c r="T55" s="6">
        <f t="shared" si="13"/>
        <v>1</v>
      </c>
      <c r="U55" s="6">
        <f t="shared" si="14"/>
        <v>0</v>
      </c>
      <c r="V55" s="6">
        <f t="shared" si="15"/>
        <v>0</v>
      </c>
    </row>
    <row r="56" spans="1:22">
      <c r="A56" s="13">
        <v>14846</v>
      </c>
      <c r="B56" s="7">
        <v>9</v>
      </c>
      <c r="C56" s="6" t="s">
        <v>229</v>
      </c>
      <c r="D56" s="6">
        <v>12</v>
      </c>
      <c r="E56" s="6" t="s">
        <v>45</v>
      </c>
      <c r="F56" s="6" t="s">
        <v>37</v>
      </c>
      <c r="G56" s="6">
        <f t="shared" si="0"/>
        <v>0</v>
      </c>
      <c r="H56" s="6">
        <f t="shared" si="1"/>
        <v>0</v>
      </c>
      <c r="I56" s="6">
        <f t="shared" si="2"/>
        <v>1</v>
      </c>
      <c r="J56" s="6">
        <f t="shared" si="3"/>
        <v>0</v>
      </c>
      <c r="K56" s="6">
        <f t="shared" si="4"/>
        <v>0</v>
      </c>
      <c r="L56" s="6">
        <f t="shared" si="5"/>
        <v>0</v>
      </c>
      <c r="M56" s="6">
        <f t="shared" si="6"/>
        <v>0</v>
      </c>
      <c r="N56" s="6">
        <f t="shared" si="7"/>
        <v>1</v>
      </c>
      <c r="O56" s="6">
        <f t="shared" si="8"/>
        <v>0</v>
      </c>
      <c r="P56" s="6">
        <f t="shared" si="9"/>
        <v>0</v>
      </c>
      <c r="Q56" s="6">
        <f t="shared" si="10"/>
        <v>0</v>
      </c>
      <c r="R56" s="6">
        <f t="shared" si="11"/>
        <v>0</v>
      </c>
      <c r="S56" s="6">
        <f t="shared" si="12"/>
        <v>1</v>
      </c>
      <c r="T56" s="6">
        <f t="shared" si="13"/>
        <v>1</v>
      </c>
      <c r="U56" s="6">
        <f t="shared" si="14"/>
        <v>0</v>
      </c>
      <c r="V56" s="6">
        <f t="shared" si="15"/>
        <v>0</v>
      </c>
    </row>
    <row r="57" spans="1:22">
      <c r="A57" s="13">
        <v>20049</v>
      </c>
      <c r="B57" s="7">
        <v>13</v>
      </c>
      <c r="C57" s="6" t="s">
        <v>230</v>
      </c>
      <c r="D57" s="6">
        <v>17</v>
      </c>
      <c r="E57" s="6" t="s">
        <v>53</v>
      </c>
      <c r="F57" s="6" t="s">
        <v>60</v>
      </c>
      <c r="G57" s="6">
        <f t="shared" si="0"/>
        <v>0</v>
      </c>
      <c r="H57" s="6">
        <f t="shared" si="1"/>
        <v>0</v>
      </c>
      <c r="I57" s="6">
        <f t="shared" si="2"/>
        <v>1</v>
      </c>
      <c r="J57" s="6">
        <f t="shared" si="3"/>
        <v>0</v>
      </c>
      <c r="K57" s="6">
        <f t="shared" si="4"/>
        <v>0</v>
      </c>
      <c r="L57" s="6">
        <f t="shared" si="5"/>
        <v>0</v>
      </c>
      <c r="M57" s="6">
        <f t="shared" si="6"/>
        <v>0</v>
      </c>
      <c r="N57" s="6">
        <f t="shared" si="7"/>
        <v>0</v>
      </c>
      <c r="O57" s="6">
        <f t="shared" si="8"/>
        <v>0</v>
      </c>
      <c r="P57" s="6">
        <f t="shared" si="9"/>
        <v>1</v>
      </c>
      <c r="Q57" s="6">
        <f t="shared" si="10"/>
        <v>0</v>
      </c>
      <c r="R57" s="6">
        <f t="shared" si="11"/>
        <v>1</v>
      </c>
      <c r="S57" s="6">
        <f t="shared" si="12"/>
        <v>0</v>
      </c>
      <c r="T57" s="6">
        <f t="shared" si="13"/>
        <v>0</v>
      </c>
      <c r="U57" s="6">
        <f t="shared" si="14"/>
        <v>0</v>
      </c>
      <c r="V57" s="6">
        <f t="shared" si="15"/>
        <v>1</v>
      </c>
    </row>
    <row r="58" spans="1:22">
      <c r="A58" s="13">
        <v>16853</v>
      </c>
      <c r="B58" s="7">
        <v>5</v>
      </c>
      <c r="C58" s="6" t="s">
        <v>235</v>
      </c>
      <c r="D58" s="6">
        <v>14</v>
      </c>
      <c r="E58" s="6" t="s">
        <v>18</v>
      </c>
      <c r="F58" s="6" t="s">
        <v>60</v>
      </c>
      <c r="G58" s="6">
        <f t="shared" si="0"/>
        <v>0</v>
      </c>
      <c r="H58" s="6">
        <f t="shared" si="1"/>
        <v>0</v>
      </c>
      <c r="I58" s="6">
        <f t="shared" si="2"/>
        <v>0</v>
      </c>
      <c r="J58" s="6">
        <f t="shared" si="3"/>
        <v>0</v>
      </c>
      <c r="K58" s="6">
        <f t="shared" si="4"/>
        <v>0</v>
      </c>
      <c r="L58" s="6">
        <f t="shared" si="5"/>
        <v>1</v>
      </c>
      <c r="M58" s="6">
        <f t="shared" si="6"/>
        <v>0</v>
      </c>
      <c r="N58" s="6">
        <f t="shared" si="7"/>
        <v>0</v>
      </c>
      <c r="O58" s="6">
        <f t="shared" si="8"/>
        <v>1</v>
      </c>
      <c r="P58" s="6">
        <f t="shared" si="9"/>
        <v>0</v>
      </c>
      <c r="Q58" s="6">
        <f t="shared" si="10"/>
        <v>0</v>
      </c>
      <c r="R58" s="6">
        <f t="shared" si="11"/>
        <v>0</v>
      </c>
      <c r="S58" s="6">
        <f t="shared" si="12"/>
        <v>1</v>
      </c>
      <c r="T58" s="6">
        <f t="shared" si="13"/>
        <v>0</v>
      </c>
      <c r="U58" s="6">
        <f t="shared" si="14"/>
        <v>0</v>
      </c>
      <c r="V58" s="6">
        <f t="shared" si="15"/>
        <v>1</v>
      </c>
    </row>
    <row r="59" spans="1:22">
      <c r="A59" s="13">
        <v>34917</v>
      </c>
      <c r="B59" s="7">
        <v>3</v>
      </c>
      <c r="C59" s="6" t="s">
        <v>229</v>
      </c>
      <c r="D59" s="6">
        <v>19</v>
      </c>
      <c r="E59" s="6" t="s">
        <v>53</v>
      </c>
      <c r="F59" s="6" t="s">
        <v>35</v>
      </c>
      <c r="G59" s="6">
        <f t="shared" si="0"/>
        <v>0</v>
      </c>
      <c r="H59" s="6">
        <f t="shared" si="1"/>
        <v>0</v>
      </c>
      <c r="I59" s="6">
        <f t="shared" si="2"/>
        <v>1</v>
      </c>
      <c r="J59" s="6">
        <f t="shared" si="3"/>
        <v>0</v>
      </c>
      <c r="K59" s="6">
        <f t="shared" si="4"/>
        <v>0</v>
      </c>
      <c r="L59" s="6">
        <f t="shared" si="5"/>
        <v>0</v>
      </c>
      <c r="M59" s="6">
        <f t="shared" si="6"/>
        <v>0</v>
      </c>
      <c r="N59" s="6">
        <f t="shared" si="7"/>
        <v>0</v>
      </c>
      <c r="O59" s="6">
        <f t="shared" si="8"/>
        <v>0</v>
      </c>
      <c r="P59" s="6">
        <f t="shared" si="9"/>
        <v>0</v>
      </c>
      <c r="Q59" s="6">
        <f t="shared" si="10"/>
        <v>1</v>
      </c>
      <c r="R59" s="6">
        <f t="shared" si="11"/>
        <v>1</v>
      </c>
      <c r="S59" s="6">
        <f t="shared" si="12"/>
        <v>0</v>
      </c>
      <c r="T59" s="6">
        <f t="shared" si="13"/>
        <v>1</v>
      </c>
      <c r="U59" s="6">
        <f t="shared" si="14"/>
        <v>0</v>
      </c>
      <c r="V59" s="6">
        <f t="shared" si="15"/>
        <v>0</v>
      </c>
    </row>
    <row r="60" spans="1:22">
      <c r="A60" s="13">
        <v>33201</v>
      </c>
      <c r="B60" s="7">
        <v>11</v>
      </c>
      <c r="C60" s="6" t="s">
        <v>230</v>
      </c>
      <c r="D60" s="6">
        <v>19</v>
      </c>
      <c r="E60" s="6" t="s">
        <v>49</v>
      </c>
      <c r="F60" s="6" t="s">
        <v>58</v>
      </c>
      <c r="G60" s="6">
        <f t="shared" si="0"/>
        <v>0</v>
      </c>
      <c r="H60" s="6">
        <f t="shared" si="1"/>
        <v>0</v>
      </c>
      <c r="I60" s="6">
        <f t="shared" si="2"/>
        <v>1</v>
      </c>
      <c r="J60" s="6">
        <f t="shared" si="3"/>
        <v>0</v>
      </c>
      <c r="K60" s="6">
        <f t="shared" si="4"/>
        <v>0</v>
      </c>
      <c r="L60" s="6">
        <f t="shared" si="5"/>
        <v>0</v>
      </c>
      <c r="M60" s="6">
        <f t="shared" si="6"/>
        <v>0</v>
      </c>
      <c r="N60" s="6">
        <f t="shared" si="7"/>
        <v>0</v>
      </c>
      <c r="O60" s="6">
        <f t="shared" si="8"/>
        <v>0</v>
      </c>
      <c r="P60" s="6">
        <f t="shared" si="9"/>
        <v>0</v>
      </c>
      <c r="Q60" s="6">
        <f t="shared" si="10"/>
        <v>1</v>
      </c>
      <c r="R60" s="6">
        <f t="shared" si="11"/>
        <v>0</v>
      </c>
      <c r="S60" s="6">
        <f t="shared" si="12"/>
        <v>1</v>
      </c>
      <c r="T60" s="6">
        <f t="shared" si="13"/>
        <v>0</v>
      </c>
      <c r="U60" s="6">
        <f t="shared" si="14"/>
        <v>0</v>
      </c>
      <c r="V60" s="6">
        <f t="shared" si="15"/>
        <v>1</v>
      </c>
    </row>
    <row r="61" spans="1:22">
      <c r="A61" s="13">
        <v>16466</v>
      </c>
      <c r="B61" s="7">
        <v>14</v>
      </c>
      <c r="C61" s="6" t="s">
        <v>235</v>
      </c>
      <c r="D61" s="6">
        <v>13</v>
      </c>
      <c r="E61" s="6" t="s">
        <v>49</v>
      </c>
      <c r="F61" s="6" t="s">
        <v>35</v>
      </c>
      <c r="G61" s="6">
        <f t="shared" si="0"/>
        <v>0</v>
      </c>
      <c r="H61" s="6">
        <f t="shared" si="1"/>
        <v>0</v>
      </c>
      <c r="I61" s="6">
        <f t="shared" si="2"/>
        <v>0</v>
      </c>
      <c r="J61" s="6">
        <f t="shared" si="3"/>
        <v>0</v>
      </c>
      <c r="K61" s="6">
        <f t="shared" si="4"/>
        <v>0</v>
      </c>
      <c r="L61" s="6">
        <f t="shared" si="5"/>
        <v>1</v>
      </c>
      <c r="M61" s="6">
        <f t="shared" si="6"/>
        <v>0</v>
      </c>
      <c r="N61" s="6">
        <f t="shared" si="7"/>
        <v>0</v>
      </c>
      <c r="O61" s="6">
        <f t="shared" si="8"/>
        <v>1</v>
      </c>
      <c r="P61" s="6">
        <f t="shared" si="9"/>
        <v>0</v>
      </c>
      <c r="Q61" s="6">
        <f t="shared" si="10"/>
        <v>0</v>
      </c>
      <c r="R61" s="6">
        <f t="shared" si="11"/>
        <v>0</v>
      </c>
      <c r="S61" s="6">
        <f t="shared" si="12"/>
        <v>1</v>
      </c>
      <c r="T61" s="6">
        <f t="shared" si="13"/>
        <v>1</v>
      </c>
      <c r="U61" s="6">
        <f t="shared" si="14"/>
        <v>0</v>
      </c>
      <c r="V61" s="6">
        <f t="shared" si="15"/>
        <v>0</v>
      </c>
    </row>
    <row r="62" spans="1:22">
      <c r="A62" s="13">
        <v>18450</v>
      </c>
      <c r="B62" s="7">
        <v>12</v>
      </c>
      <c r="C62" s="6" t="s">
        <v>225</v>
      </c>
      <c r="D62" s="6">
        <v>15</v>
      </c>
      <c r="E62" s="6" t="s">
        <v>47</v>
      </c>
      <c r="F62" s="6" t="s">
        <v>37</v>
      </c>
      <c r="G62" s="6">
        <f t="shared" si="0"/>
        <v>1</v>
      </c>
      <c r="H62" s="6">
        <f t="shared" si="1"/>
        <v>0</v>
      </c>
      <c r="I62" s="6">
        <f t="shared" si="2"/>
        <v>0</v>
      </c>
      <c r="J62" s="6">
        <f t="shared" si="3"/>
        <v>0</v>
      </c>
      <c r="K62" s="6">
        <f t="shared" si="4"/>
        <v>0</v>
      </c>
      <c r="L62" s="6">
        <f t="shared" si="5"/>
        <v>0</v>
      </c>
      <c r="M62" s="6">
        <f t="shared" si="6"/>
        <v>0</v>
      </c>
      <c r="N62" s="6">
        <f t="shared" si="7"/>
        <v>0</v>
      </c>
      <c r="O62" s="6">
        <f t="shared" si="8"/>
        <v>1</v>
      </c>
      <c r="P62" s="6">
        <f t="shared" si="9"/>
        <v>0</v>
      </c>
      <c r="Q62" s="6">
        <f t="shared" si="10"/>
        <v>0</v>
      </c>
      <c r="R62" s="6">
        <f t="shared" si="11"/>
        <v>0</v>
      </c>
      <c r="S62" s="6">
        <f t="shared" si="12"/>
        <v>1</v>
      </c>
      <c r="T62" s="6">
        <f t="shared" si="13"/>
        <v>1</v>
      </c>
      <c r="U62" s="6">
        <f t="shared" si="14"/>
        <v>0</v>
      </c>
      <c r="V62" s="6">
        <f t="shared" si="15"/>
        <v>0</v>
      </c>
    </row>
    <row r="63" spans="1:22">
      <c r="A63" s="13">
        <v>35646</v>
      </c>
      <c r="B63" s="7">
        <v>7</v>
      </c>
      <c r="C63" s="6" t="s">
        <v>230</v>
      </c>
      <c r="D63" s="6">
        <v>12</v>
      </c>
      <c r="E63" s="6" t="s">
        <v>51</v>
      </c>
      <c r="F63" s="6" t="s">
        <v>58</v>
      </c>
      <c r="G63" s="6">
        <f t="shared" si="0"/>
        <v>0</v>
      </c>
      <c r="H63" s="6">
        <f t="shared" si="1"/>
        <v>0</v>
      </c>
      <c r="I63" s="6">
        <f t="shared" si="2"/>
        <v>1</v>
      </c>
      <c r="J63" s="6">
        <f t="shared" si="3"/>
        <v>0</v>
      </c>
      <c r="K63" s="6">
        <f t="shared" si="4"/>
        <v>0</v>
      </c>
      <c r="L63" s="6">
        <f t="shared" si="5"/>
        <v>0</v>
      </c>
      <c r="M63" s="6">
        <f t="shared" si="6"/>
        <v>0</v>
      </c>
      <c r="N63" s="6">
        <f t="shared" si="7"/>
        <v>1</v>
      </c>
      <c r="O63" s="6">
        <f t="shared" si="8"/>
        <v>0</v>
      </c>
      <c r="P63" s="6">
        <f t="shared" si="9"/>
        <v>0</v>
      </c>
      <c r="Q63" s="6">
        <f t="shared" si="10"/>
        <v>0</v>
      </c>
      <c r="R63" s="6">
        <f t="shared" si="11"/>
        <v>0</v>
      </c>
      <c r="S63" s="6">
        <f t="shared" si="12"/>
        <v>1</v>
      </c>
      <c r="T63" s="6">
        <f t="shared" si="13"/>
        <v>0</v>
      </c>
      <c r="U63" s="6">
        <f t="shared" si="14"/>
        <v>0</v>
      </c>
      <c r="V63" s="6">
        <f t="shared" si="15"/>
        <v>1</v>
      </c>
    </row>
    <row r="64" spans="1:22">
      <c r="A64" s="13">
        <v>38609</v>
      </c>
      <c r="B64" s="7">
        <v>11</v>
      </c>
      <c r="C64" s="6" t="s">
        <v>231</v>
      </c>
      <c r="D64" s="6">
        <v>22</v>
      </c>
      <c r="E64" s="6" t="s">
        <v>47</v>
      </c>
      <c r="F64" s="6" t="s">
        <v>37</v>
      </c>
      <c r="G64" s="6">
        <f t="shared" si="0"/>
        <v>0</v>
      </c>
      <c r="H64" s="6">
        <f t="shared" si="1"/>
        <v>0</v>
      </c>
      <c r="I64" s="6">
        <f t="shared" si="2"/>
        <v>0</v>
      </c>
      <c r="J64" s="6">
        <f t="shared" si="3"/>
        <v>1</v>
      </c>
      <c r="K64" s="6">
        <f t="shared" si="4"/>
        <v>0</v>
      </c>
      <c r="L64" s="6">
        <f t="shared" si="5"/>
        <v>0</v>
      </c>
      <c r="M64" s="6">
        <f t="shared" si="6"/>
        <v>0</v>
      </c>
      <c r="N64" s="6">
        <f t="shared" si="7"/>
        <v>0</v>
      </c>
      <c r="O64" s="6">
        <f t="shared" si="8"/>
        <v>0</v>
      </c>
      <c r="P64" s="6">
        <f t="shared" si="9"/>
        <v>0</v>
      </c>
      <c r="Q64" s="6">
        <f t="shared" si="10"/>
        <v>1</v>
      </c>
      <c r="R64" s="6">
        <f t="shared" si="11"/>
        <v>0</v>
      </c>
      <c r="S64" s="6">
        <f t="shared" si="12"/>
        <v>1</v>
      </c>
      <c r="T64" s="6">
        <f t="shared" si="13"/>
        <v>1</v>
      </c>
      <c r="U64" s="6">
        <f t="shared" si="14"/>
        <v>0</v>
      </c>
      <c r="V64" s="6">
        <f t="shared" si="15"/>
        <v>0</v>
      </c>
    </row>
    <row r="65" spans="1:22">
      <c r="A65" s="13">
        <v>37841</v>
      </c>
      <c r="B65" s="7">
        <v>6</v>
      </c>
      <c r="C65" s="6" t="s">
        <v>231</v>
      </c>
      <c r="D65" s="6">
        <v>14</v>
      </c>
      <c r="E65" s="6" t="s">
        <v>53</v>
      </c>
      <c r="F65" s="6" t="s">
        <v>37</v>
      </c>
      <c r="G65" s="6">
        <f t="shared" si="0"/>
        <v>0</v>
      </c>
      <c r="H65" s="6">
        <f t="shared" si="1"/>
        <v>0</v>
      </c>
      <c r="I65" s="6">
        <f t="shared" si="2"/>
        <v>0</v>
      </c>
      <c r="J65" s="6">
        <f t="shared" si="3"/>
        <v>1</v>
      </c>
      <c r="K65" s="6">
        <f t="shared" si="4"/>
        <v>0</v>
      </c>
      <c r="L65" s="6">
        <f t="shared" si="5"/>
        <v>0</v>
      </c>
      <c r="M65" s="6">
        <f t="shared" si="6"/>
        <v>0</v>
      </c>
      <c r="N65" s="6">
        <f t="shared" si="7"/>
        <v>0</v>
      </c>
      <c r="O65" s="6">
        <f t="shared" si="8"/>
        <v>1</v>
      </c>
      <c r="P65" s="6">
        <f t="shared" si="9"/>
        <v>0</v>
      </c>
      <c r="Q65" s="6">
        <f t="shared" si="10"/>
        <v>0</v>
      </c>
      <c r="R65" s="6">
        <f t="shared" si="11"/>
        <v>1</v>
      </c>
      <c r="S65" s="6">
        <f t="shared" si="12"/>
        <v>0</v>
      </c>
      <c r="T65" s="6">
        <f t="shared" si="13"/>
        <v>1</v>
      </c>
      <c r="U65" s="6">
        <f t="shared" si="14"/>
        <v>0</v>
      </c>
      <c r="V65" s="6">
        <f t="shared" si="15"/>
        <v>0</v>
      </c>
    </row>
    <row r="66" spans="1:22">
      <c r="A66" s="13">
        <v>11934</v>
      </c>
      <c r="B66" s="7">
        <v>7</v>
      </c>
      <c r="C66" s="6" t="s">
        <v>225</v>
      </c>
      <c r="D66" s="6">
        <v>10</v>
      </c>
      <c r="E66" s="6" t="s">
        <v>47</v>
      </c>
      <c r="F66" s="6" t="s">
        <v>58</v>
      </c>
      <c r="G66" s="6">
        <f t="shared" si="0"/>
        <v>1</v>
      </c>
      <c r="H66" s="6">
        <f t="shared" si="1"/>
        <v>0</v>
      </c>
      <c r="I66" s="6">
        <f t="shared" si="2"/>
        <v>0</v>
      </c>
      <c r="J66" s="6">
        <f t="shared" si="3"/>
        <v>0</v>
      </c>
      <c r="K66" s="6">
        <f t="shared" si="4"/>
        <v>0</v>
      </c>
      <c r="L66" s="6">
        <f t="shared" si="5"/>
        <v>0</v>
      </c>
      <c r="M66" s="6">
        <f t="shared" si="6"/>
        <v>0</v>
      </c>
      <c r="N66" s="6">
        <f t="shared" si="7"/>
        <v>1</v>
      </c>
      <c r="O66" s="6">
        <f t="shared" si="8"/>
        <v>0</v>
      </c>
      <c r="P66" s="6">
        <f t="shared" si="9"/>
        <v>0</v>
      </c>
      <c r="Q66" s="6">
        <f t="shared" si="10"/>
        <v>0</v>
      </c>
      <c r="R66" s="6">
        <f t="shared" si="11"/>
        <v>0</v>
      </c>
      <c r="S66" s="6">
        <f t="shared" si="12"/>
        <v>1</v>
      </c>
      <c r="T66" s="6">
        <f t="shared" si="13"/>
        <v>0</v>
      </c>
      <c r="U66" s="6">
        <f t="shared" si="14"/>
        <v>0</v>
      </c>
      <c r="V66" s="6">
        <f t="shared" si="15"/>
        <v>1</v>
      </c>
    </row>
    <row r="67" spans="1:22">
      <c r="A67" s="13">
        <v>14794</v>
      </c>
      <c r="B67" s="7">
        <v>13</v>
      </c>
      <c r="C67" s="6" t="s">
        <v>229</v>
      </c>
      <c r="D67" s="6">
        <v>19</v>
      </c>
      <c r="E67" s="6" t="s">
        <v>18</v>
      </c>
      <c r="F67" s="6" t="s">
        <v>60</v>
      </c>
      <c r="G67" s="6">
        <f t="shared" si="0"/>
        <v>0</v>
      </c>
      <c r="H67" s="6">
        <f t="shared" si="1"/>
        <v>0</v>
      </c>
      <c r="I67" s="6">
        <f t="shared" si="2"/>
        <v>1</v>
      </c>
      <c r="J67" s="6">
        <f t="shared" si="3"/>
        <v>0</v>
      </c>
      <c r="K67" s="6">
        <f t="shared" si="4"/>
        <v>0</v>
      </c>
      <c r="L67" s="6">
        <f t="shared" si="5"/>
        <v>0</v>
      </c>
      <c r="M67" s="6">
        <f t="shared" si="6"/>
        <v>0</v>
      </c>
      <c r="N67" s="6">
        <f t="shared" si="7"/>
        <v>0</v>
      </c>
      <c r="O67" s="6">
        <f t="shared" si="8"/>
        <v>0</v>
      </c>
      <c r="P67" s="6">
        <f t="shared" si="9"/>
        <v>0</v>
      </c>
      <c r="Q67" s="6">
        <f t="shared" si="10"/>
        <v>1</v>
      </c>
      <c r="R67" s="6">
        <f t="shared" si="11"/>
        <v>0</v>
      </c>
      <c r="S67" s="6">
        <f t="shared" si="12"/>
        <v>1</v>
      </c>
      <c r="T67" s="6">
        <f t="shared" si="13"/>
        <v>0</v>
      </c>
      <c r="U67" s="6">
        <f t="shared" si="14"/>
        <v>0</v>
      </c>
      <c r="V67" s="6">
        <f t="shared" si="15"/>
        <v>1</v>
      </c>
    </row>
    <row r="68" spans="1:22">
      <c r="A68" s="13">
        <v>19490</v>
      </c>
      <c r="B68" s="7">
        <v>14</v>
      </c>
      <c r="C68" s="6" t="s">
        <v>230</v>
      </c>
      <c r="D68" s="6">
        <v>18</v>
      </c>
      <c r="E68" s="6" t="s">
        <v>53</v>
      </c>
      <c r="F68" s="6" t="s">
        <v>39</v>
      </c>
      <c r="G68" s="6">
        <f t="shared" si="0"/>
        <v>0</v>
      </c>
      <c r="H68" s="6">
        <f t="shared" si="1"/>
        <v>0</v>
      </c>
      <c r="I68" s="6">
        <f t="shared" si="2"/>
        <v>1</v>
      </c>
      <c r="J68" s="6">
        <f t="shared" si="3"/>
        <v>0</v>
      </c>
      <c r="K68" s="6">
        <f t="shared" si="4"/>
        <v>0</v>
      </c>
      <c r="L68" s="6">
        <f t="shared" si="5"/>
        <v>0</v>
      </c>
      <c r="M68" s="6">
        <f t="shared" si="6"/>
        <v>0</v>
      </c>
      <c r="N68" s="6">
        <f t="shared" si="7"/>
        <v>0</v>
      </c>
      <c r="O68" s="6">
        <f t="shared" si="8"/>
        <v>0</v>
      </c>
      <c r="P68" s="6">
        <f t="shared" si="9"/>
        <v>1</v>
      </c>
      <c r="Q68" s="6">
        <f t="shared" si="10"/>
        <v>0</v>
      </c>
      <c r="R68" s="6">
        <f t="shared" si="11"/>
        <v>1</v>
      </c>
      <c r="S68" s="6">
        <f t="shared" si="12"/>
        <v>0</v>
      </c>
      <c r="T68" s="6">
        <f t="shared" si="13"/>
        <v>0</v>
      </c>
      <c r="U68" s="6">
        <f t="shared" si="14"/>
        <v>1</v>
      </c>
      <c r="V68" s="6">
        <f t="shared" si="15"/>
        <v>0</v>
      </c>
    </row>
    <row r="69" spans="1:22">
      <c r="A69" s="13">
        <v>9286</v>
      </c>
      <c r="B69" s="7">
        <v>3</v>
      </c>
      <c r="C69" s="6" t="s">
        <v>237</v>
      </c>
      <c r="D69" s="6">
        <v>12</v>
      </c>
      <c r="E69" s="6" t="s">
        <v>42</v>
      </c>
      <c r="F69" s="6" t="s">
        <v>60</v>
      </c>
      <c r="G69" s="6">
        <f t="shared" si="0"/>
        <v>0</v>
      </c>
      <c r="H69" s="6">
        <f t="shared" si="1"/>
        <v>0</v>
      </c>
      <c r="I69" s="6">
        <f t="shared" si="2"/>
        <v>0</v>
      </c>
      <c r="J69" s="6">
        <f t="shared" si="3"/>
        <v>0</v>
      </c>
      <c r="K69" s="6">
        <f t="shared" si="4"/>
        <v>0</v>
      </c>
      <c r="L69" s="6">
        <f t="shared" si="5"/>
        <v>0</v>
      </c>
      <c r="M69" s="6">
        <f t="shared" si="6"/>
        <v>1</v>
      </c>
      <c r="N69" s="6">
        <f t="shared" si="7"/>
        <v>1</v>
      </c>
      <c r="O69" s="6">
        <f t="shared" si="8"/>
        <v>0</v>
      </c>
      <c r="P69" s="6">
        <f t="shared" si="9"/>
        <v>0</v>
      </c>
      <c r="Q69" s="6">
        <f t="shared" si="10"/>
        <v>0</v>
      </c>
      <c r="R69" s="6">
        <f t="shared" si="11"/>
        <v>1</v>
      </c>
      <c r="S69" s="6">
        <f t="shared" si="12"/>
        <v>0</v>
      </c>
      <c r="T69" s="6">
        <f t="shared" si="13"/>
        <v>0</v>
      </c>
      <c r="U69" s="6">
        <f t="shared" si="14"/>
        <v>0</v>
      </c>
      <c r="V69" s="6">
        <f t="shared" si="15"/>
        <v>1</v>
      </c>
    </row>
    <row r="70" spans="1:22">
      <c r="A70" s="13">
        <v>15641</v>
      </c>
      <c r="B70" s="7">
        <v>7</v>
      </c>
      <c r="C70" s="6" t="s">
        <v>230</v>
      </c>
      <c r="D70" s="6">
        <v>13</v>
      </c>
      <c r="E70" s="6" t="s">
        <v>51</v>
      </c>
      <c r="F70" s="6" t="s">
        <v>39</v>
      </c>
      <c r="G70" s="6">
        <f t="shared" si="0"/>
        <v>0</v>
      </c>
      <c r="H70" s="6">
        <f t="shared" si="1"/>
        <v>0</v>
      </c>
      <c r="I70" s="6">
        <f t="shared" si="2"/>
        <v>1</v>
      </c>
      <c r="J70" s="6">
        <f t="shared" si="3"/>
        <v>0</v>
      </c>
      <c r="K70" s="6">
        <f t="shared" si="4"/>
        <v>0</v>
      </c>
      <c r="L70" s="6">
        <f t="shared" si="5"/>
        <v>0</v>
      </c>
      <c r="M70" s="6">
        <f t="shared" si="6"/>
        <v>0</v>
      </c>
      <c r="N70" s="6">
        <f t="shared" si="7"/>
        <v>0</v>
      </c>
      <c r="O70" s="6">
        <f t="shared" si="8"/>
        <v>1</v>
      </c>
      <c r="P70" s="6">
        <f t="shared" si="9"/>
        <v>0</v>
      </c>
      <c r="Q70" s="6">
        <f t="shared" si="10"/>
        <v>0</v>
      </c>
      <c r="R70" s="6">
        <f t="shared" si="11"/>
        <v>0</v>
      </c>
      <c r="S70" s="6">
        <f t="shared" si="12"/>
        <v>1</v>
      </c>
      <c r="T70" s="6">
        <f t="shared" si="13"/>
        <v>0</v>
      </c>
      <c r="U70" s="6">
        <f t="shared" si="14"/>
        <v>1</v>
      </c>
      <c r="V70" s="6">
        <f t="shared" si="15"/>
        <v>0</v>
      </c>
    </row>
    <row r="71" spans="1:22">
      <c r="A71" s="13">
        <v>8739</v>
      </c>
      <c r="B71" s="7">
        <v>5</v>
      </c>
      <c r="C71" s="6" t="s">
        <v>227</v>
      </c>
      <c r="D71" s="6">
        <v>13</v>
      </c>
      <c r="E71" s="6" t="s">
        <v>47</v>
      </c>
      <c r="F71" s="6" t="s">
        <v>39</v>
      </c>
      <c r="G71" s="6">
        <f t="shared" si="0"/>
        <v>0</v>
      </c>
      <c r="H71" s="6">
        <f t="shared" si="1"/>
        <v>1</v>
      </c>
      <c r="I71" s="6">
        <f t="shared" si="2"/>
        <v>0</v>
      </c>
      <c r="J71" s="6">
        <f t="shared" si="3"/>
        <v>0</v>
      </c>
      <c r="K71" s="6">
        <f t="shared" si="4"/>
        <v>0</v>
      </c>
      <c r="L71" s="6">
        <f t="shared" si="5"/>
        <v>0</v>
      </c>
      <c r="M71" s="6">
        <f t="shared" si="6"/>
        <v>0</v>
      </c>
      <c r="N71" s="6">
        <f t="shared" si="7"/>
        <v>0</v>
      </c>
      <c r="O71" s="6">
        <f t="shared" si="8"/>
        <v>1</v>
      </c>
      <c r="P71" s="6">
        <f t="shared" si="9"/>
        <v>0</v>
      </c>
      <c r="Q71" s="6">
        <f t="shared" si="10"/>
        <v>0</v>
      </c>
      <c r="R71" s="6">
        <f t="shared" si="11"/>
        <v>0</v>
      </c>
      <c r="S71" s="6">
        <f t="shared" si="12"/>
        <v>1</v>
      </c>
      <c r="T71" s="6">
        <f t="shared" si="13"/>
        <v>0</v>
      </c>
      <c r="U71" s="6">
        <f t="shared" si="14"/>
        <v>1</v>
      </c>
      <c r="V71" s="6">
        <f t="shared" si="15"/>
        <v>0</v>
      </c>
    </row>
    <row r="72" spans="1:22">
      <c r="A72" s="13">
        <v>18597</v>
      </c>
      <c r="B72" s="7">
        <v>7</v>
      </c>
      <c r="C72" s="6" t="s">
        <v>227</v>
      </c>
      <c r="D72" s="6">
        <v>18</v>
      </c>
      <c r="E72" s="6" t="s">
        <v>45</v>
      </c>
      <c r="F72" s="6" t="s">
        <v>39</v>
      </c>
      <c r="G72" s="6">
        <f t="shared" ref="G72:G105" si="16">IF($C72="札幌", 1, 0)</f>
        <v>0</v>
      </c>
      <c r="H72" s="6">
        <f t="shared" ref="H72:H105" si="17">IF($C72="仙台", 1, 0)</f>
        <v>1</v>
      </c>
      <c r="I72" s="6">
        <f t="shared" ref="I72:I105" si="18">IF(OR($C72="新宿", $C72="銀座"), 1, 0)</f>
        <v>0</v>
      </c>
      <c r="J72" s="6">
        <f t="shared" ref="J72:J105" si="19">IF($C72="梅田", 1, 0)</f>
        <v>0</v>
      </c>
      <c r="K72" s="6">
        <f t="shared" ref="K72:K105" si="20">IF($C72="神戸", 1, 0)</f>
        <v>0</v>
      </c>
      <c r="L72" s="6">
        <f t="shared" ref="L72:L105" si="21">IF($C72="広島", 1, 0)</f>
        <v>0</v>
      </c>
      <c r="M72" s="6">
        <f t="shared" ref="M72:M105" si="22">IF($C72="福岡", 1, 0)</f>
        <v>0</v>
      </c>
      <c r="N72" s="6">
        <f t="shared" ref="N72:N105" si="23">IF(OR($D72=10, $D72=11, $D72=12), 1, 0)</f>
        <v>0</v>
      </c>
      <c r="O72" s="6">
        <f t="shared" ref="O72:O105" si="24">IF(OR($D72=13, $D72=14, $D72=15), 1, 0)</f>
        <v>0</v>
      </c>
      <c r="P72" s="6">
        <f t="shared" ref="P72:P105" si="25">IF(OR($D72=16, $D72=17, $D72=18), 1, 0)</f>
        <v>1</v>
      </c>
      <c r="Q72" s="6">
        <f t="shared" ref="Q72:Q105" si="26">IF(OR($D72=19, $D72=20, $D72=21, $D72=22), 1, 0)</f>
        <v>0</v>
      </c>
      <c r="R72" s="6">
        <f t="shared" ref="R72:R105" si="27">IF(OR($E72="日", $E72="土"), 1, 0)</f>
        <v>0</v>
      </c>
      <c r="S72" s="6">
        <f t="shared" ref="S72:S105" si="28">IF(OR($E72="月", $E72="火", $E72="水", $E72="木", $E72="金"), 1, 0)</f>
        <v>1</v>
      </c>
      <c r="T72" s="6">
        <f t="shared" ref="T72:T105" si="29">IF(OR($F72="快晴", $F72="晴れ"), 1, 0)</f>
        <v>0</v>
      </c>
      <c r="U72" s="6">
        <f t="shared" ref="U72:U105" si="30">IF($F72="曇り", 1, 0)</f>
        <v>1</v>
      </c>
      <c r="V72" s="6">
        <f t="shared" ref="V72:V105" si="31">IF(OR($F72="小雨", $F72="大雨"), 1, 0)</f>
        <v>0</v>
      </c>
    </row>
    <row r="73" spans="1:22">
      <c r="A73" s="13">
        <v>21928</v>
      </c>
      <c r="B73" s="7">
        <v>11</v>
      </c>
      <c r="C73" s="6" t="s">
        <v>229</v>
      </c>
      <c r="D73" s="6">
        <v>18</v>
      </c>
      <c r="E73" s="6" t="s">
        <v>49</v>
      </c>
      <c r="F73" s="6" t="s">
        <v>37</v>
      </c>
      <c r="G73" s="6">
        <f t="shared" si="16"/>
        <v>0</v>
      </c>
      <c r="H73" s="6">
        <f t="shared" si="17"/>
        <v>0</v>
      </c>
      <c r="I73" s="6">
        <f t="shared" si="18"/>
        <v>1</v>
      </c>
      <c r="J73" s="6">
        <f t="shared" si="19"/>
        <v>0</v>
      </c>
      <c r="K73" s="6">
        <f t="shared" si="20"/>
        <v>0</v>
      </c>
      <c r="L73" s="6">
        <f t="shared" si="21"/>
        <v>0</v>
      </c>
      <c r="M73" s="6">
        <f t="shared" si="22"/>
        <v>0</v>
      </c>
      <c r="N73" s="6">
        <f t="shared" si="23"/>
        <v>0</v>
      </c>
      <c r="O73" s="6">
        <f t="shared" si="24"/>
        <v>0</v>
      </c>
      <c r="P73" s="6">
        <f t="shared" si="25"/>
        <v>1</v>
      </c>
      <c r="Q73" s="6">
        <f t="shared" si="26"/>
        <v>0</v>
      </c>
      <c r="R73" s="6">
        <f t="shared" si="27"/>
        <v>0</v>
      </c>
      <c r="S73" s="6">
        <f t="shared" si="28"/>
        <v>1</v>
      </c>
      <c r="T73" s="6">
        <f t="shared" si="29"/>
        <v>1</v>
      </c>
      <c r="U73" s="6">
        <f t="shared" si="30"/>
        <v>0</v>
      </c>
      <c r="V73" s="6">
        <f t="shared" si="31"/>
        <v>0</v>
      </c>
    </row>
    <row r="74" spans="1:22">
      <c r="A74" s="13">
        <v>17110</v>
      </c>
      <c r="B74" s="7">
        <v>5</v>
      </c>
      <c r="C74" s="6" t="s">
        <v>225</v>
      </c>
      <c r="D74" s="6">
        <v>21</v>
      </c>
      <c r="E74" s="6" t="s">
        <v>51</v>
      </c>
      <c r="F74" s="6" t="s">
        <v>60</v>
      </c>
      <c r="G74" s="6">
        <f t="shared" si="16"/>
        <v>1</v>
      </c>
      <c r="H74" s="6">
        <f t="shared" si="17"/>
        <v>0</v>
      </c>
      <c r="I74" s="6">
        <f t="shared" si="18"/>
        <v>0</v>
      </c>
      <c r="J74" s="6">
        <f t="shared" si="19"/>
        <v>0</v>
      </c>
      <c r="K74" s="6">
        <f t="shared" si="20"/>
        <v>0</v>
      </c>
      <c r="L74" s="6">
        <f t="shared" si="21"/>
        <v>0</v>
      </c>
      <c r="M74" s="6">
        <f t="shared" si="22"/>
        <v>0</v>
      </c>
      <c r="N74" s="6">
        <f t="shared" si="23"/>
        <v>0</v>
      </c>
      <c r="O74" s="6">
        <f t="shared" si="24"/>
        <v>0</v>
      </c>
      <c r="P74" s="6">
        <f t="shared" si="25"/>
        <v>0</v>
      </c>
      <c r="Q74" s="6">
        <f t="shared" si="26"/>
        <v>1</v>
      </c>
      <c r="R74" s="6">
        <f t="shared" si="27"/>
        <v>0</v>
      </c>
      <c r="S74" s="6">
        <f t="shared" si="28"/>
        <v>1</v>
      </c>
      <c r="T74" s="6">
        <f t="shared" si="29"/>
        <v>0</v>
      </c>
      <c r="U74" s="6">
        <f t="shared" si="30"/>
        <v>0</v>
      </c>
      <c r="V74" s="6">
        <f t="shared" si="31"/>
        <v>1</v>
      </c>
    </row>
    <row r="75" spans="1:22">
      <c r="A75" s="13">
        <v>17400</v>
      </c>
      <c r="B75" s="7">
        <v>11</v>
      </c>
      <c r="C75" s="6" t="s">
        <v>237</v>
      </c>
      <c r="D75" s="6">
        <v>10</v>
      </c>
      <c r="E75" s="6" t="s">
        <v>45</v>
      </c>
      <c r="F75" s="6" t="s">
        <v>39</v>
      </c>
      <c r="G75" s="6">
        <f t="shared" si="16"/>
        <v>0</v>
      </c>
      <c r="H75" s="6">
        <f t="shared" si="17"/>
        <v>0</v>
      </c>
      <c r="I75" s="6">
        <f t="shared" si="18"/>
        <v>0</v>
      </c>
      <c r="J75" s="6">
        <f t="shared" si="19"/>
        <v>0</v>
      </c>
      <c r="K75" s="6">
        <f t="shared" si="20"/>
        <v>0</v>
      </c>
      <c r="L75" s="6">
        <f t="shared" si="21"/>
        <v>0</v>
      </c>
      <c r="M75" s="6">
        <f t="shared" si="22"/>
        <v>1</v>
      </c>
      <c r="N75" s="6">
        <f t="shared" si="23"/>
        <v>1</v>
      </c>
      <c r="O75" s="6">
        <f t="shared" si="24"/>
        <v>0</v>
      </c>
      <c r="P75" s="6">
        <f t="shared" si="25"/>
        <v>0</v>
      </c>
      <c r="Q75" s="6">
        <f t="shared" si="26"/>
        <v>0</v>
      </c>
      <c r="R75" s="6">
        <f t="shared" si="27"/>
        <v>0</v>
      </c>
      <c r="S75" s="6">
        <f t="shared" si="28"/>
        <v>1</v>
      </c>
      <c r="T75" s="6">
        <f t="shared" si="29"/>
        <v>0</v>
      </c>
      <c r="U75" s="6">
        <f t="shared" si="30"/>
        <v>1</v>
      </c>
      <c r="V75" s="6">
        <f t="shared" si="31"/>
        <v>0</v>
      </c>
    </row>
    <row r="76" spans="1:22">
      <c r="A76" s="13">
        <v>9397</v>
      </c>
      <c r="B76" s="7">
        <v>10</v>
      </c>
      <c r="C76" s="6" t="s">
        <v>227</v>
      </c>
      <c r="D76" s="6">
        <v>11</v>
      </c>
      <c r="E76" s="6" t="s">
        <v>49</v>
      </c>
      <c r="F76" s="6" t="s">
        <v>35</v>
      </c>
      <c r="G76" s="6">
        <f t="shared" si="16"/>
        <v>0</v>
      </c>
      <c r="H76" s="6">
        <f t="shared" si="17"/>
        <v>1</v>
      </c>
      <c r="I76" s="6">
        <f t="shared" si="18"/>
        <v>0</v>
      </c>
      <c r="J76" s="6">
        <f t="shared" si="19"/>
        <v>0</v>
      </c>
      <c r="K76" s="6">
        <f t="shared" si="20"/>
        <v>0</v>
      </c>
      <c r="L76" s="6">
        <f t="shared" si="21"/>
        <v>0</v>
      </c>
      <c r="M76" s="6">
        <f t="shared" si="22"/>
        <v>0</v>
      </c>
      <c r="N76" s="6">
        <f t="shared" si="23"/>
        <v>1</v>
      </c>
      <c r="O76" s="6">
        <f t="shared" si="24"/>
        <v>0</v>
      </c>
      <c r="P76" s="6">
        <f t="shared" si="25"/>
        <v>0</v>
      </c>
      <c r="Q76" s="6">
        <f t="shared" si="26"/>
        <v>0</v>
      </c>
      <c r="R76" s="6">
        <f t="shared" si="27"/>
        <v>0</v>
      </c>
      <c r="S76" s="6">
        <f t="shared" si="28"/>
        <v>1</v>
      </c>
      <c r="T76" s="6">
        <f t="shared" si="29"/>
        <v>1</v>
      </c>
      <c r="U76" s="6">
        <f t="shared" si="30"/>
        <v>0</v>
      </c>
      <c r="V76" s="6">
        <f t="shared" si="31"/>
        <v>0</v>
      </c>
    </row>
    <row r="77" spans="1:22">
      <c r="A77" s="13">
        <v>15338</v>
      </c>
      <c r="B77" s="7">
        <v>3</v>
      </c>
      <c r="C77" s="6" t="s">
        <v>235</v>
      </c>
      <c r="D77" s="6">
        <v>11</v>
      </c>
      <c r="E77" s="6" t="s">
        <v>51</v>
      </c>
      <c r="F77" s="6" t="s">
        <v>35</v>
      </c>
      <c r="G77" s="6">
        <f t="shared" si="16"/>
        <v>0</v>
      </c>
      <c r="H77" s="6">
        <f t="shared" si="17"/>
        <v>0</v>
      </c>
      <c r="I77" s="6">
        <f t="shared" si="18"/>
        <v>0</v>
      </c>
      <c r="J77" s="6">
        <f t="shared" si="19"/>
        <v>0</v>
      </c>
      <c r="K77" s="6">
        <f t="shared" si="20"/>
        <v>0</v>
      </c>
      <c r="L77" s="6">
        <f t="shared" si="21"/>
        <v>1</v>
      </c>
      <c r="M77" s="6">
        <f t="shared" si="22"/>
        <v>0</v>
      </c>
      <c r="N77" s="6">
        <f t="shared" si="23"/>
        <v>1</v>
      </c>
      <c r="O77" s="6">
        <f t="shared" si="24"/>
        <v>0</v>
      </c>
      <c r="P77" s="6">
        <f t="shared" si="25"/>
        <v>0</v>
      </c>
      <c r="Q77" s="6">
        <f t="shared" si="26"/>
        <v>0</v>
      </c>
      <c r="R77" s="6">
        <f t="shared" si="27"/>
        <v>0</v>
      </c>
      <c r="S77" s="6">
        <f t="shared" si="28"/>
        <v>1</v>
      </c>
      <c r="T77" s="6">
        <f t="shared" si="29"/>
        <v>1</v>
      </c>
      <c r="U77" s="6">
        <f t="shared" si="30"/>
        <v>0</v>
      </c>
      <c r="V77" s="6">
        <f t="shared" si="31"/>
        <v>0</v>
      </c>
    </row>
    <row r="78" spans="1:22">
      <c r="A78" s="13">
        <v>25094</v>
      </c>
      <c r="B78" s="7">
        <v>5</v>
      </c>
      <c r="C78" s="6" t="s">
        <v>225</v>
      </c>
      <c r="D78" s="6">
        <v>12</v>
      </c>
      <c r="E78" s="6" t="s">
        <v>53</v>
      </c>
      <c r="F78" s="6" t="s">
        <v>35</v>
      </c>
      <c r="G78" s="6">
        <f t="shared" si="16"/>
        <v>1</v>
      </c>
      <c r="H78" s="6">
        <f t="shared" si="17"/>
        <v>0</v>
      </c>
      <c r="I78" s="6">
        <f t="shared" si="18"/>
        <v>0</v>
      </c>
      <c r="J78" s="6">
        <f t="shared" si="19"/>
        <v>0</v>
      </c>
      <c r="K78" s="6">
        <f t="shared" si="20"/>
        <v>0</v>
      </c>
      <c r="L78" s="6">
        <f t="shared" si="21"/>
        <v>0</v>
      </c>
      <c r="M78" s="6">
        <f t="shared" si="22"/>
        <v>0</v>
      </c>
      <c r="N78" s="6">
        <f t="shared" si="23"/>
        <v>1</v>
      </c>
      <c r="O78" s="6">
        <f t="shared" si="24"/>
        <v>0</v>
      </c>
      <c r="P78" s="6">
        <f t="shared" si="25"/>
        <v>0</v>
      </c>
      <c r="Q78" s="6">
        <f t="shared" si="26"/>
        <v>0</v>
      </c>
      <c r="R78" s="6">
        <f t="shared" si="27"/>
        <v>1</v>
      </c>
      <c r="S78" s="6">
        <f t="shared" si="28"/>
        <v>0</v>
      </c>
      <c r="T78" s="6">
        <f t="shared" si="29"/>
        <v>1</v>
      </c>
      <c r="U78" s="6">
        <f t="shared" si="30"/>
        <v>0</v>
      </c>
      <c r="V78" s="6">
        <f t="shared" si="31"/>
        <v>0</v>
      </c>
    </row>
    <row r="79" spans="1:22">
      <c r="A79" s="13">
        <v>8704</v>
      </c>
      <c r="B79" s="7">
        <v>14</v>
      </c>
      <c r="C79" s="6" t="s">
        <v>235</v>
      </c>
      <c r="D79" s="6">
        <v>16</v>
      </c>
      <c r="E79" s="6" t="s">
        <v>18</v>
      </c>
      <c r="F79" s="6" t="s">
        <v>60</v>
      </c>
      <c r="G79" s="6">
        <f t="shared" si="16"/>
        <v>0</v>
      </c>
      <c r="H79" s="6">
        <f t="shared" si="17"/>
        <v>0</v>
      </c>
      <c r="I79" s="6">
        <f t="shared" si="18"/>
        <v>0</v>
      </c>
      <c r="J79" s="6">
        <f t="shared" si="19"/>
        <v>0</v>
      </c>
      <c r="K79" s="6">
        <f t="shared" si="20"/>
        <v>0</v>
      </c>
      <c r="L79" s="6">
        <f t="shared" si="21"/>
        <v>1</v>
      </c>
      <c r="M79" s="6">
        <f t="shared" si="22"/>
        <v>0</v>
      </c>
      <c r="N79" s="6">
        <f t="shared" si="23"/>
        <v>0</v>
      </c>
      <c r="O79" s="6">
        <f t="shared" si="24"/>
        <v>0</v>
      </c>
      <c r="P79" s="6">
        <f t="shared" si="25"/>
        <v>1</v>
      </c>
      <c r="Q79" s="6">
        <f t="shared" si="26"/>
        <v>0</v>
      </c>
      <c r="R79" s="6">
        <f t="shared" si="27"/>
        <v>0</v>
      </c>
      <c r="S79" s="6">
        <f t="shared" si="28"/>
        <v>1</v>
      </c>
      <c r="T79" s="6">
        <f t="shared" si="29"/>
        <v>0</v>
      </c>
      <c r="U79" s="6">
        <f t="shared" si="30"/>
        <v>0</v>
      </c>
      <c r="V79" s="6">
        <f t="shared" si="31"/>
        <v>1</v>
      </c>
    </row>
    <row r="80" spans="1:22">
      <c r="A80" s="13">
        <v>21716</v>
      </c>
      <c r="B80" s="7">
        <v>6</v>
      </c>
      <c r="C80" s="6" t="s">
        <v>237</v>
      </c>
      <c r="D80" s="6">
        <v>22</v>
      </c>
      <c r="E80" s="6" t="s">
        <v>49</v>
      </c>
      <c r="F80" s="6" t="s">
        <v>37</v>
      </c>
      <c r="G80" s="6">
        <f t="shared" si="16"/>
        <v>0</v>
      </c>
      <c r="H80" s="6">
        <f t="shared" si="17"/>
        <v>0</v>
      </c>
      <c r="I80" s="6">
        <f t="shared" si="18"/>
        <v>0</v>
      </c>
      <c r="J80" s="6">
        <f t="shared" si="19"/>
        <v>0</v>
      </c>
      <c r="K80" s="6">
        <f t="shared" si="20"/>
        <v>0</v>
      </c>
      <c r="L80" s="6">
        <f t="shared" si="21"/>
        <v>0</v>
      </c>
      <c r="M80" s="6">
        <f t="shared" si="22"/>
        <v>1</v>
      </c>
      <c r="N80" s="6">
        <f t="shared" si="23"/>
        <v>0</v>
      </c>
      <c r="O80" s="6">
        <f t="shared" si="24"/>
        <v>0</v>
      </c>
      <c r="P80" s="6">
        <f t="shared" si="25"/>
        <v>0</v>
      </c>
      <c r="Q80" s="6">
        <f t="shared" si="26"/>
        <v>1</v>
      </c>
      <c r="R80" s="6">
        <f t="shared" si="27"/>
        <v>0</v>
      </c>
      <c r="S80" s="6">
        <f t="shared" si="28"/>
        <v>1</v>
      </c>
      <c r="T80" s="6">
        <f t="shared" si="29"/>
        <v>1</v>
      </c>
      <c r="U80" s="6">
        <f t="shared" si="30"/>
        <v>0</v>
      </c>
      <c r="V80" s="6">
        <f t="shared" si="31"/>
        <v>0</v>
      </c>
    </row>
    <row r="81" spans="1:22">
      <c r="A81" s="13">
        <v>18909</v>
      </c>
      <c r="B81" s="7">
        <v>12</v>
      </c>
      <c r="C81" s="6" t="s">
        <v>229</v>
      </c>
      <c r="D81" s="6">
        <v>12</v>
      </c>
      <c r="E81" s="6" t="s">
        <v>42</v>
      </c>
      <c r="F81" s="6" t="s">
        <v>35</v>
      </c>
      <c r="G81" s="6">
        <f t="shared" si="16"/>
        <v>0</v>
      </c>
      <c r="H81" s="6">
        <f t="shared" si="17"/>
        <v>0</v>
      </c>
      <c r="I81" s="6">
        <f t="shared" si="18"/>
        <v>1</v>
      </c>
      <c r="J81" s="6">
        <f t="shared" si="19"/>
        <v>0</v>
      </c>
      <c r="K81" s="6">
        <f t="shared" si="20"/>
        <v>0</v>
      </c>
      <c r="L81" s="6">
        <f t="shared" si="21"/>
        <v>0</v>
      </c>
      <c r="M81" s="6">
        <f t="shared" si="22"/>
        <v>0</v>
      </c>
      <c r="N81" s="6">
        <f t="shared" si="23"/>
        <v>1</v>
      </c>
      <c r="O81" s="6">
        <f t="shared" si="24"/>
        <v>0</v>
      </c>
      <c r="P81" s="6">
        <f t="shared" si="25"/>
        <v>0</v>
      </c>
      <c r="Q81" s="6">
        <f t="shared" si="26"/>
        <v>0</v>
      </c>
      <c r="R81" s="6">
        <f t="shared" si="27"/>
        <v>1</v>
      </c>
      <c r="S81" s="6">
        <f t="shared" si="28"/>
        <v>0</v>
      </c>
      <c r="T81" s="6">
        <f t="shared" si="29"/>
        <v>1</v>
      </c>
      <c r="U81" s="6">
        <f t="shared" si="30"/>
        <v>0</v>
      </c>
      <c r="V81" s="6">
        <f t="shared" si="31"/>
        <v>0</v>
      </c>
    </row>
    <row r="82" spans="1:22">
      <c r="A82" s="13">
        <v>25413</v>
      </c>
      <c r="B82" s="7">
        <v>5</v>
      </c>
      <c r="C82" s="6" t="s">
        <v>225</v>
      </c>
      <c r="D82" s="6">
        <v>12</v>
      </c>
      <c r="E82" s="6" t="s">
        <v>51</v>
      </c>
      <c r="F82" s="6" t="s">
        <v>39</v>
      </c>
      <c r="G82" s="6">
        <f t="shared" si="16"/>
        <v>1</v>
      </c>
      <c r="H82" s="6">
        <f t="shared" si="17"/>
        <v>0</v>
      </c>
      <c r="I82" s="6">
        <f t="shared" si="18"/>
        <v>0</v>
      </c>
      <c r="J82" s="6">
        <f t="shared" si="19"/>
        <v>0</v>
      </c>
      <c r="K82" s="6">
        <f t="shared" si="20"/>
        <v>0</v>
      </c>
      <c r="L82" s="6">
        <f t="shared" si="21"/>
        <v>0</v>
      </c>
      <c r="M82" s="6">
        <f t="shared" si="22"/>
        <v>0</v>
      </c>
      <c r="N82" s="6">
        <f t="shared" si="23"/>
        <v>1</v>
      </c>
      <c r="O82" s="6">
        <f t="shared" si="24"/>
        <v>0</v>
      </c>
      <c r="P82" s="6">
        <f t="shared" si="25"/>
        <v>0</v>
      </c>
      <c r="Q82" s="6">
        <f t="shared" si="26"/>
        <v>0</v>
      </c>
      <c r="R82" s="6">
        <f t="shared" si="27"/>
        <v>0</v>
      </c>
      <c r="S82" s="6">
        <f t="shared" si="28"/>
        <v>1</v>
      </c>
      <c r="T82" s="6">
        <f t="shared" si="29"/>
        <v>0</v>
      </c>
      <c r="U82" s="6">
        <f t="shared" si="30"/>
        <v>1</v>
      </c>
      <c r="V82" s="6">
        <f t="shared" si="31"/>
        <v>0</v>
      </c>
    </row>
    <row r="83" spans="1:22">
      <c r="A83" s="13">
        <v>13042</v>
      </c>
      <c r="B83" s="7">
        <v>15</v>
      </c>
      <c r="C83" s="6" t="s">
        <v>235</v>
      </c>
      <c r="D83" s="6">
        <v>14</v>
      </c>
      <c r="E83" s="6" t="s">
        <v>42</v>
      </c>
      <c r="F83" s="6" t="s">
        <v>35</v>
      </c>
      <c r="G83" s="6">
        <f t="shared" si="16"/>
        <v>0</v>
      </c>
      <c r="H83" s="6">
        <f t="shared" si="17"/>
        <v>0</v>
      </c>
      <c r="I83" s="6">
        <f t="shared" si="18"/>
        <v>0</v>
      </c>
      <c r="J83" s="6">
        <f t="shared" si="19"/>
        <v>0</v>
      </c>
      <c r="K83" s="6">
        <f t="shared" si="20"/>
        <v>0</v>
      </c>
      <c r="L83" s="6">
        <f t="shared" si="21"/>
        <v>1</v>
      </c>
      <c r="M83" s="6">
        <f t="shared" si="22"/>
        <v>0</v>
      </c>
      <c r="N83" s="6">
        <f t="shared" si="23"/>
        <v>0</v>
      </c>
      <c r="O83" s="6">
        <f t="shared" si="24"/>
        <v>1</v>
      </c>
      <c r="P83" s="6">
        <f t="shared" si="25"/>
        <v>0</v>
      </c>
      <c r="Q83" s="6">
        <f t="shared" si="26"/>
        <v>0</v>
      </c>
      <c r="R83" s="6">
        <f t="shared" si="27"/>
        <v>1</v>
      </c>
      <c r="S83" s="6">
        <f t="shared" si="28"/>
        <v>0</v>
      </c>
      <c r="T83" s="6">
        <f t="shared" si="29"/>
        <v>1</v>
      </c>
      <c r="U83" s="6">
        <f t="shared" si="30"/>
        <v>0</v>
      </c>
      <c r="V83" s="6">
        <f t="shared" si="31"/>
        <v>0</v>
      </c>
    </row>
    <row r="84" spans="1:22">
      <c r="A84" s="13">
        <v>25930</v>
      </c>
      <c r="B84" s="7">
        <v>5</v>
      </c>
      <c r="C84" s="6" t="s">
        <v>227</v>
      </c>
      <c r="D84" s="6">
        <v>17</v>
      </c>
      <c r="E84" s="6" t="s">
        <v>49</v>
      </c>
      <c r="F84" s="6" t="s">
        <v>35</v>
      </c>
      <c r="G84" s="6">
        <f t="shared" si="16"/>
        <v>0</v>
      </c>
      <c r="H84" s="6">
        <f t="shared" si="17"/>
        <v>1</v>
      </c>
      <c r="I84" s="6">
        <f t="shared" si="18"/>
        <v>0</v>
      </c>
      <c r="J84" s="6">
        <f t="shared" si="19"/>
        <v>0</v>
      </c>
      <c r="K84" s="6">
        <f t="shared" si="20"/>
        <v>0</v>
      </c>
      <c r="L84" s="6">
        <f t="shared" si="21"/>
        <v>0</v>
      </c>
      <c r="M84" s="6">
        <f t="shared" si="22"/>
        <v>0</v>
      </c>
      <c r="N84" s="6">
        <f t="shared" si="23"/>
        <v>0</v>
      </c>
      <c r="O84" s="6">
        <f t="shared" si="24"/>
        <v>0</v>
      </c>
      <c r="P84" s="6">
        <f t="shared" si="25"/>
        <v>1</v>
      </c>
      <c r="Q84" s="6">
        <f t="shared" si="26"/>
        <v>0</v>
      </c>
      <c r="R84" s="6">
        <f t="shared" si="27"/>
        <v>0</v>
      </c>
      <c r="S84" s="6">
        <f t="shared" si="28"/>
        <v>1</v>
      </c>
      <c r="T84" s="6">
        <f t="shared" si="29"/>
        <v>1</v>
      </c>
      <c r="U84" s="6">
        <f t="shared" si="30"/>
        <v>0</v>
      </c>
      <c r="V84" s="6">
        <f t="shared" si="31"/>
        <v>0</v>
      </c>
    </row>
    <row r="85" spans="1:22">
      <c r="A85" s="13">
        <v>12350</v>
      </c>
      <c r="B85" s="7">
        <v>4</v>
      </c>
      <c r="C85" s="6" t="s">
        <v>227</v>
      </c>
      <c r="D85" s="6">
        <v>18</v>
      </c>
      <c r="E85" s="6" t="s">
        <v>53</v>
      </c>
      <c r="F85" s="6" t="s">
        <v>39</v>
      </c>
      <c r="G85" s="6">
        <f t="shared" si="16"/>
        <v>0</v>
      </c>
      <c r="H85" s="6">
        <f t="shared" si="17"/>
        <v>1</v>
      </c>
      <c r="I85" s="6">
        <f t="shared" si="18"/>
        <v>0</v>
      </c>
      <c r="J85" s="6">
        <f t="shared" si="19"/>
        <v>0</v>
      </c>
      <c r="K85" s="6">
        <f t="shared" si="20"/>
        <v>0</v>
      </c>
      <c r="L85" s="6">
        <f t="shared" si="21"/>
        <v>0</v>
      </c>
      <c r="M85" s="6">
        <f t="shared" si="22"/>
        <v>0</v>
      </c>
      <c r="N85" s="6">
        <f t="shared" si="23"/>
        <v>0</v>
      </c>
      <c r="O85" s="6">
        <f t="shared" si="24"/>
        <v>0</v>
      </c>
      <c r="P85" s="6">
        <f t="shared" si="25"/>
        <v>1</v>
      </c>
      <c r="Q85" s="6">
        <f t="shared" si="26"/>
        <v>0</v>
      </c>
      <c r="R85" s="6">
        <f t="shared" si="27"/>
        <v>1</v>
      </c>
      <c r="S85" s="6">
        <f t="shared" si="28"/>
        <v>0</v>
      </c>
      <c r="T85" s="6">
        <f t="shared" si="29"/>
        <v>0</v>
      </c>
      <c r="U85" s="6">
        <f t="shared" si="30"/>
        <v>1</v>
      </c>
      <c r="V85" s="6">
        <f t="shared" si="31"/>
        <v>0</v>
      </c>
    </row>
    <row r="86" spans="1:22">
      <c r="A86" s="13">
        <v>20433</v>
      </c>
      <c r="B86" s="7">
        <v>5</v>
      </c>
      <c r="C86" s="6" t="s">
        <v>237</v>
      </c>
      <c r="D86" s="6">
        <v>21</v>
      </c>
      <c r="E86" s="6" t="s">
        <v>18</v>
      </c>
      <c r="F86" s="6" t="s">
        <v>35</v>
      </c>
      <c r="G86" s="6">
        <f t="shared" si="16"/>
        <v>0</v>
      </c>
      <c r="H86" s="6">
        <f t="shared" si="17"/>
        <v>0</v>
      </c>
      <c r="I86" s="6">
        <f t="shared" si="18"/>
        <v>0</v>
      </c>
      <c r="J86" s="6">
        <f t="shared" si="19"/>
        <v>0</v>
      </c>
      <c r="K86" s="6">
        <f t="shared" si="20"/>
        <v>0</v>
      </c>
      <c r="L86" s="6">
        <f t="shared" si="21"/>
        <v>0</v>
      </c>
      <c r="M86" s="6">
        <f t="shared" si="22"/>
        <v>1</v>
      </c>
      <c r="N86" s="6">
        <f t="shared" si="23"/>
        <v>0</v>
      </c>
      <c r="O86" s="6">
        <f t="shared" si="24"/>
        <v>0</v>
      </c>
      <c r="P86" s="6">
        <f t="shared" si="25"/>
        <v>0</v>
      </c>
      <c r="Q86" s="6">
        <f t="shared" si="26"/>
        <v>1</v>
      </c>
      <c r="R86" s="6">
        <f t="shared" si="27"/>
        <v>0</v>
      </c>
      <c r="S86" s="6">
        <f t="shared" si="28"/>
        <v>1</v>
      </c>
      <c r="T86" s="6">
        <f t="shared" si="29"/>
        <v>1</v>
      </c>
      <c r="U86" s="6">
        <f t="shared" si="30"/>
        <v>0</v>
      </c>
      <c r="V86" s="6">
        <f t="shared" si="31"/>
        <v>0</v>
      </c>
    </row>
    <row r="87" spans="1:22">
      <c r="A87" s="13">
        <v>16493</v>
      </c>
      <c r="B87" s="7">
        <v>3</v>
      </c>
      <c r="C87" s="6" t="s">
        <v>230</v>
      </c>
      <c r="D87" s="6">
        <v>20</v>
      </c>
      <c r="E87" s="6" t="s">
        <v>42</v>
      </c>
      <c r="F87" s="6" t="s">
        <v>60</v>
      </c>
      <c r="G87" s="6">
        <f t="shared" si="16"/>
        <v>0</v>
      </c>
      <c r="H87" s="6">
        <f t="shared" si="17"/>
        <v>0</v>
      </c>
      <c r="I87" s="6">
        <f t="shared" si="18"/>
        <v>1</v>
      </c>
      <c r="J87" s="6">
        <f t="shared" si="19"/>
        <v>0</v>
      </c>
      <c r="K87" s="6">
        <f t="shared" si="20"/>
        <v>0</v>
      </c>
      <c r="L87" s="6">
        <f t="shared" si="21"/>
        <v>0</v>
      </c>
      <c r="M87" s="6">
        <f t="shared" si="22"/>
        <v>0</v>
      </c>
      <c r="N87" s="6">
        <f t="shared" si="23"/>
        <v>0</v>
      </c>
      <c r="O87" s="6">
        <f t="shared" si="24"/>
        <v>0</v>
      </c>
      <c r="P87" s="6">
        <f t="shared" si="25"/>
        <v>0</v>
      </c>
      <c r="Q87" s="6">
        <f t="shared" si="26"/>
        <v>1</v>
      </c>
      <c r="R87" s="6">
        <f t="shared" si="27"/>
        <v>1</v>
      </c>
      <c r="S87" s="6">
        <f t="shared" si="28"/>
        <v>0</v>
      </c>
      <c r="T87" s="6">
        <f t="shared" si="29"/>
        <v>0</v>
      </c>
      <c r="U87" s="6">
        <f t="shared" si="30"/>
        <v>0</v>
      </c>
      <c r="V87" s="6">
        <f t="shared" si="31"/>
        <v>1</v>
      </c>
    </row>
    <row r="88" spans="1:22">
      <c r="A88" s="13">
        <v>17608</v>
      </c>
      <c r="B88" s="7">
        <v>10</v>
      </c>
      <c r="C88" s="6" t="s">
        <v>237</v>
      </c>
      <c r="D88" s="6">
        <v>11</v>
      </c>
      <c r="E88" s="6" t="s">
        <v>45</v>
      </c>
      <c r="F88" s="6" t="s">
        <v>39</v>
      </c>
      <c r="G88" s="6">
        <f t="shared" si="16"/>
        <v>0</v>
      </c>
      <c r="H88" s="6">
        <f t="shared" si="17"/>
        <v>0</v>
      </c>
      <c r="I88" s="6">
        <f t="shared" si="18"/>
        <v>0</v>
      </c>
      <c r="J88" s="6">
        <f t="shared" si="19"/>
        <v>0</v>
      </c>
      <c r="K88" s="6">
        <f t="shared" si="20"/>
        <v>0</v>
      </c>
      <c r="L88" s="6">
        <f t="shared" si="21"/>
        <v>0</v>
      </c>
      <c r="M88" s="6">
        <f t="shared" si="22"/>
        <v>1</v>
      </c>
      <c r="N88" s="6">
        <f t="shared" si="23"/>
        <v>1</v>
      </c>
      <c r="O88" s="6">
        <f t="shared" si="24"/>
        <v>0</v>
      </c>
      <c r="P88" s="6">
        <f t="shared" si="25"/>
        <v>0</v>
      </c>
      <c r="Q88" s="6">
        <f t="shared" si="26"/>
        <v>0</v>
      </c>
      <c r="R88" s="6">
        <f t="shared" si="27"/>
        <v>0</v>
      </c>
      <c r="S88" s="6">
        <f t="shared" si="28"/>
        <v>1</v>
      </c>
      <c r="T88" s="6">
        <f t="shared" si="29"/>
        <v>0</v>
      </c>
      <c r="U88" s="6">
        <f t="shared" si="30"/>
        <v>1</v>
      </c>
      <c r="V88" s="6">
        <f t="shared" si="31"/>
        <v>0</v>
      </c>
    </row>
    <row r="89" spans="1:22">
      <c r="A89" s="13">
        <v>22809</v>
      </c>
      <c r="B89" s="7">
        <v>12</v>
      </c>
      <c r="C89" s="6" t="s">
        <v>231</v>
      </c>
      <c r="D89" s="6">
        <v>20</v>
      </c>
      <c r="E89" s="6" t="s">
        <v>18</v>
      </c>
      <c r="F89" s="6" t="s">
        <v>37</v>
      </c>
      <c r="G89" s="6">
        <f t="shared" si="16"/>
        <v>0</v>
      </c>
      <c r="H89" s="6">
        <f t="shared" si="17"/>
        <v>0</v>
      </c>
      <c r="I89" s="6">
        <f t="shared" si="18"/>
        <v>0</v>
      </c>
      <c r="J89" s="6">
        <f t="shared" si="19"/>
        <v>1</v>
      </c>
      <c r="K89" s="6">
        <f t="shared" si="20"/>
        <v>0</v>
      </c>
      <c r="L89" s="6">
        <f t="shared" si="21"/>
        <v>0</v>
      </c>
      <c r="M89" s="6">
        <f t="shared" si="22"/>
        <v>0</v>
      </c>
      <c r="N89" s="6">
        <f t="shared" si="23"/>
        <v>0</v>
      </c>
      <c r="O89" s="6">
        <f t="shared" si="24"/>
        <v>0</v>
      </c>
      <c r="P89" s="6">
        <f t="shared" si="25"/>
        <v>0</v>
      </c>
      <c r="Q89" s="6">
        <f t="shared" si="26"/>
        <v>1</v>
      </c>
      <c r="R89" s="6">
        <f t="shared" si="27"/>
        <v>0</v>
      </c>
      <c r="S89" s="6">
        <f t="shared" si="28"/>
        <v>1</v>
      </c>
      <c r="T89" s="6">
        <f t="shared" si="29"/>
        <v>1</v>
      </c>
      <c r="U89" s="6">
        <f t="shared" si="30"/>
        <v>0</v>
      </c>
      <c r="V89" s="6">
        <f t="shared" si="31"/>
        <v>0</v>
      </c>
    </row>
    <row r="90" spans="1:22">
      <c r="A90" s="13">
        <v>12303</v>
      </c>
      <c r="B90" s="7">
        <v>11</v>
      </c>
      <c r="C90" s="6" t="s">
        <v>237</v>
      </c>
      <c r="D90" s="6">
        <v>17</v>
      </c>
      <c r="E90" s="6" t="s">
        <v>45</v>
      </c>
      <c r="F90" s="6" t="s">
        <v>39</v>
      </c>
      <c r="G90" s="6">
        <f t="shared" si="16"/>
        <v>0</v>
      </c>
      <c r="H90" s="6">
        <f t="shared" si="17"/>
        <v>0</v>
      </c>
      <c r="I90" s="6">
        <f t="shared" si="18"/>
        <v>0</v>
      </c>
      <c r="J90" s="6">
        <f t="shared" si="19"/>
        <v>0</v>
      </c>
      <c r="K90" s="6">
        <f t="shared" si="20"/>
        <v>0</v>
      </c>
      <c r="L90" s="6">
        <f t="shared" si="21"/>
        <v>0</v>
      </c>
      <c r="M90" s="6">
        <f t="shared" si="22"/>
        <v>1</v>
      </c>
      <c r="N90" s="6">
        <f t="shared" si="23"/>
        <v>0</v>
      </c>
      <c r="O90" s="6">
        <f t="shared" si="24"/>
        <v>0</v>
      </c>
      <c r="P90" s="6">
        <f t="shared" si="25"/>
        <v>1</v>
      </c>
      <c r="Q90" s="6">
        <f t="shared" si="26"/>
        <v>0</v>
      </c>
      <c r="R90" s="6">
        <f t="shared" si="27"/>
        <v>0</v>
      </c>
      <c r="S90" s="6">
        <f t="shared" si="28"/>
        <v>1</v>
      </c>
      <c r="T90" s="6">
        <f t="shared" si="29"/>
        <v>0</v>
      </c>
      <c r="U90" s="6">
        <f t="shared" si="30"/>
        <v>1</v>
      </c>
      <c r="V90" s="6">
        <f t="shared" si="31"/>
        <v>0</v>
      </c>
    </row>
    <row r="91" spans="1:22">
      <c r="A91" s="13">
        <v>23928</v>
      </c>
      <c r="B91" s="7">
        <v>11</v>
      </c>
      <c r="C91" s="6" t="s">
        <v>229</v>
      </c>
      <c r="D91" s="6">
        <v>15</v>
      </c>
      <c r="E91" s="6" t="s">
        <v>51</v>
      </c>
      <c r="F91" s="6" t="s">
        <v>35</v>
      </c>
      <c r="G91" s="6">
        <f t="shared" si="16"/>
        <v>0</v>
      </c>
      <c r="H91" s="6">
        <f t="shared" si="17"/>
        <v>0</v>
      </c>
      <c r="I91" s="6">
        <f t="shared" si="18"/>
        <v>1</v>
      </c>
      <c r="J91" s="6">
        <f t="shared" si="19"/>
        <v>0</v>
      </c>
      <c r="K91" s="6">
        <f t="shared" si="20"/>
        <v>0</v>
      </c>
      <c r="L91" s="6">
        <f t="shared" si="21"/>
        <v>0</v>
      </c>
      <c r="M91" s="6">
        <f t="shared" si="22"/>
        <v>0</v>
      </c>
      <c r="N91" s="6">
        <f t="shared" si="23"/>
        <v>0</v>
      </c>
      <c r="O91" s="6">
        <f t="shared" si="24"/>
        <v>1</v>
      </c>
      <c r="P91" s="6">
        <f t="shared" si="25"/>
        <v>0</v>
      </c>
      <c r="Q91" s="6">
        <f t="shared" si="26"/>
        <v>0</v>
      </c>
      <c r="R91" s="6">
        <f t="shared" si="27"/>
        <v>0</v>
      </c>
      <c r="S91" s="6">
        <f t="shared" si="28"/>
        <v>1</v>
      </c>
      <c r="T91" s="6">
        <f t="shared" si="29"/>
        <v>1</v>
      </c>
      <c r="U91" s="6">
        <f t="shared" si="30"/>
        <v>0</v>
      </c>
      <c r="V91" s="6">
        <f t="shared" si="31"/>
        <v>0</v>
      </c>
    </row>
    <row r="92" spans="1:22">
      <c r="A92" s="13">
        <v>18266</v>
      </c>
      <c r="B92" s="7">
        <v>8</v>
      </c>
      <c r="C92" s="6" t="s">
        <v>233</v>
      </c>
      <c r="D92" s="6">
        <v>15</v>
      </c>
      <c r="E92" s="6" t="s">
        <v>49</v>
      </c>
      <c r="F92" s="6" t="s">
        <v>60</v>
      </c>
      <c r="G92" s="6">
        <f t="shared" si="16"/>
        <v>0</v>
      </c>
      <c r="H92" s="6">
        <f t="shared" si="17"/>
        <v>0</v>
      </c>
      <c r="I92" s="6">
        <f t="shared" si="18"/>
        <v>0</v>
      </c>
      <c r="J92" s="6">
        <f t="shared" si="19"/>
        <v>0</v>
      </c>
      <c r="K92" s="6">
        <f t="shared" si="20"/>
        <v>1</v>
      </c>
      <c r="L92" s="6">
        <f t="shared" si="21"/>
        <v>0</v>
      </c>
      <c r="M92" s="6">
        <f t="shared" si="22"/>
        <v>0</v>
      </c>
      <c r="N92" s="6">
        <f t="shared" si="23"/>
        <v>0</v>
      </c>
      <c r="O92" s="6">
        <f t="shared" si="24"/>
        <v>1</v>
      </c>
      <c r="P92" s="6">
        <f t="shared" si="25"/>
        <v>0</v>
      </c>
      <c r="Q92" s="6">
        <f t="shared" si="26"/>
        <v>0</v>
      </c>
      <c r="R92" s="6">
        <f t="shared" si="27"/>
        <v>0</v>
      </c>
      <c r="S92" s="6">
        <f t="shared" si="28"/>
        <v>1</v>
      </c>
      <c r="T92" s="6">
        <f t="shared" si="29"/>
        <v>0</v>
      </c>
      <c r="U92" s="6">
        <f t="shared" si="30"/>
        <v>0</v>
      </c>
      <c r="V92" s="6">
        <f t="shared" si="31"/>
        <v>1</v>
      </c>
    </row>
    <row r="93" spans="1:22">
      <c r="A93" s="13">
        <v>21873</v>
      </c>
      <c r="B93" s="7">
        <v>3</v>
      </c>
      <c r="C93" s="6" t="s">
        <v>231</v>
      </c>
      <c r="D93" s="6">
        <v>13</v>
      </c>
      <c r="E93" s="6" t="s">
        <v>53</v>
      </c>
      <c r="F93" s="6" t="s">
        <v>58</v>
      </c>
      <c r="G93" s="6">
        <f t="shared" si="16"/>
        <v>0</v>
      </c>
      <c r="H93" s="6">
        <f t="shared" si="17"/>
        <v>0</v>
      </c>
      <c r="I93" s="6">
        <f t="shared" si="18"/>
        <v>0</v>
      </c>
      <c r="J93" s="6">
        <f t="shared" si="19"/>
        <v>1</v>
      </c>
      <c r="K93" s="6">
        <f t="shared" si="20"/>
        <v>0</v>
      </c>
      <c r="L93" s="6">
        <f t="shared" si="21"/>
        <v>0</v>
      </c>
      <c r="M93" s="6">
        <f t="shared" si="22"/>
        <v>0</v>
      </c>
      <c r="N93" s="6">
        <f t="shared" si="23"/>
        <v>0</v>
      </c>
      <c r="O93" s="6">
        <f t="shared" si="24"/>
        <v>1</v>
      </c>
      <c r="P93" s="6">
        <f t="shared" si="25"/>
        <v>0</v>
      </c>
      <c r="Q93" s="6">
        <f t="shared" si="26"/>
        <v>0</v>
      </c>
      <c r="R93" s="6">
        <f t="shared" si="27"/>
        <v>1</v>
      </c>
      <c r="S93" s="6">
        <f t="shared" si="28"/>
        <v>0</v>
      </c>
      <c r="T93" s="6">
        <f t="shared" si="29"/>
        <v>0</v>
      </c>
      <c r="U93" s="6">
        <f t="shared" si="30"/>
        <v>0</v>
      </c>
      <c r="V93" s="6">
        <f t="shared" si="31"/>
        <v>1</v>
      </c>
    </row>
    <row r="94" spans="1:22">
      <c r="A94" s="13">
        <v>8739</v>
      </c>
      <c r="B94" s="7">
        <v>14</v>
      </c>
      <c r="C94" s="6" t="s">
        <v>235</v>
      </c>
      <c r="D94" s="6">
        <v>14</v>
      </c>
      <c r="E94" s="6" t="s">
        <v>51</v>
      </c>
      <c r="F94" s="6" t="s">
        <v>58</v>
      </c>
      <c r="G94" s="6">
        <f t="shared" si="16"/>
        <v>0</v>
      </c>
      <c r="H94" s="6">
        <f t="shared" si="17"/>
        <v>0</v>
      </c>
      <c r="I94" s="6">
        <f t="shared" si="18"/>
        <v>0</v>
      </c>
      <c r="J94" s="6">
        <f t="shared" si="19"/>
        <v>0</v>
      </c>
      <c r="K94" s="6">
        <f t="shared" si="20"/>
        <v>0</v>
      </c>
      <c r="L94" s="6">
        <f t="shared" si="21"/>
        <v>1</v>
      </c>
      <c r="M94" s="6">
        <f t="shared" si="22"/>
        <v>0</v>
      </c>
      <c r="N94" s="6">
        <f t="shared" si="23"/>
        <v>0</v>
      </c>
      <c r="O94" s="6">
        <f t="shared" si="24"/>
        <v>1</v>
      </c>
      <c r="P94" s="6">
        <f t="shared" si="25"/>
        <v>0</v>
      </c>
      <c r="Q94" s="6">
        <f t="shared" si="26"/>
        <v>0</v>
      </c>
      <c r="R94" s="6">
        <f t="shared" si="27"/>
        <v>0</v>
      </c>
      <c r="S94" s="6">
        <f t="shared" si="28"/>
        <v>1</v>
      </c>
      <c r="T94" s="6">
        <f t="shared" si="29"/>
        <v>0</v>
      </c>
      <c r="U94" s="6">
        <f t="shared" si="30"/>
        <v>0</v>
      </c>
      <c r="V94" s="6">
        <f t="shared" si="31"/>
        <v>1</v>
      </c>
    </row>
    <row r="95" spans="1:22">
      <c r="A95" s="13">
        <v>25710</v>
      </c>
      <c r="B95" s="7">
        <v>7</v>
      </c>
      <c r="C95" s="6" t="s">
        <v>233</v>
      </c>
      <c r="D95" s="6">
        <v>12</v>
      </c>
      <c r="E95" s="6" t="s">
        <v>42</v>
      </c>
      <c r="F95" s="6" t="s">
        <v>39</v>
      </c>
      <c r="G95" s="6">
        <f t="shared" si="16"/>
        <v>0</v>
      </c>
      <c r="H95" s="6">
        <f t="shared" si="17"/>
        <v>0</v>
      </c>
      <c r="I95" s="6">
        <f t="shared" si="18"/>
        <v>0</v>
      </c>
      <c r="J95" s="6">
        <f t="shared" si="19"/>
        <v>0</v>
      </c>
      <c r="K95" s="6">
        <f t="shared" si="20"/>
        <v>1</v>
      </c>
      <c r="L95" s="6">
        <f t="shared" si="21"/>
        <v>0</v>
      </c>
      <c r="M95" s="6">
        <f t="shared" si="22"/>
        <v>0</v>
      </c>
      <c r="N95" s="6">
        <f t="shared" si="23"/>
        <v>1</v>
      </c>
      <c r="O95" s="6">
        <f t="shared" si="24"/>
        <v>0</v>
      </c>
      <c r="P95" s="6">
        <f t="shared" si="25"/>
        <v>0</v>
      </c>
      <c r="Q95" s="6">
        <f t="shared" si="26"/>
        <v>0</v>
      </c>
      <c r="R95" s="6">
        <f t="shared" si="27"/>
        <v>1</v>
      </c>
      <c r="S95" s="6">
        <f t="shared" si="28"/>
        <v>0</v>
      </c>
      <c r="T95" s="6">
        <f t="shared" si="29"/>
        <v>0</v>
      </c>
      <c r="U95" s="6">
        <f t="shared" si="30"/>
        <v>1</v>
      </c>
      <c r="V95" s="6">
        <f t="shared" si="31"/>
        <v>0</v>
      </c>
    </row>
    <row r="96" spans="1:22">
      <c r="A96" s="13">
        <v>11280</v>
      </c>
      <c r="B96" s="7">
        <v>12</v>
      </c>
      <c r="C96" s="6" t="s">
        <v>237</v>
      </c>
      <c r="D96" s="6">
        <v>11</v>
      </c>
      <c r="E96" s="6" t="s">
        <v>47</v>
      </c>
      <c r="F96" s="6" t="s">
        <v>35</v>
      </c>
      <c r="G96" s="6">
        <f t="shared" si="16"/>
        <v>0</v>
      </c>
      <c r="H96" s="6">
        <f t="shared" si="17"/>
        <v>0</v>
      </c>
      <c r="I96" s="6">
        <f t="shared" si="18"/>
        <v>0</v>
      </c>
      <c r="J96" s="6">
        <f t="shared" si="19"/>
        <v>0</v>
      </c>
      <c r="K96" s="6">
        <f t="shared" si="20"/>
        <v>0</v>
      </c>
      <c r="L96" s="6">
        <f t="shared" si="21"/>
        <v>0</v>
      </c>
      <c r="M96" s="6">
        <f t="shared" si="22"/>
        <v>1</v>
      </c>
      <c r="N96" s="6">
        <f t="shared" si="23"/>
        <v>1</v>
      </c>
      <c r="O96" s="6">
        <f t="shared" si="24"/>
        <v>0</v>
      </c>
      <c r="P96" s="6">
        <f t="shared" si="25"/>
        <v>0</v>
      </c>
      <c r="Q96" s="6">
        <f t="shared" si="26"/>
        <v>0</v>
      </c>
      <c r="R96" s="6">
        <f t="shared" si="27"/>
        <v>0</v>
      </c>
      <c r="S96" s="6">
        <f t="shared" si="28"/>
        <v>1</v>
      </c>
      <c r="T96" s="6">
        <f t="shared" si="29"/>
        <v>1</v>
      </c>
      <c r="U96" s="6">
        <f t="shared" si="30"/>
        <v>0</v>
      </c>
      <c r="V96" s="6">
        <f t="shared" si="31"/>
        <v>0</v>
      </c>
    </row>
    <row r="97" spans="1:22">
      <c r="A97" s="13">
        <v>14650</v>
      </c>
      <c r="B97" s="7">
        <v>9</v>
      </c>
      <c r="C97" s="6" t="s">
        <v>227</v>
      </c>
      <c r="D97" s="6">
        <v>10</v>
      </c>
      <c r="E97" s="6" t="s">
        <v>53</v>
      </c>
      <c r="F97" s="6" t="s">
        <v>58</v>
      </c>
      <c r="G97" s="6">
        <f t="shared" si="16"/>
        <v>0</v>
      </c>
      <c r="H97" s="6">
        <f t="shared" si="17"/>
        <v>1</v>
      </c>
      <c r="I97" s="6">
        <f t="shared" si="18"/>
        <v>0</v>
      </c>
      <c r="J97" s="6">
        <f t="shared" si="19"/>
        <v>0</v>
      </c>
      <c r="K97" s="6">
        <f t="shared" si="20"/>
        <v>0</v>
      </c>
      <c r="L97" s="6">
        <f t="shared" si="21"/>
        <v>0</v>
      </c>
      <c r="M97" s="6">
        <f t="shared" si="22"/>
        <v>0</v>
      </c>
      <c r="N97" s="6">
        <f t="shared" si="23"/>
        <v>1</v>
      </c>
      <c r="O97" s="6">
        <f t="shared" si="24"/>
        <v>0</v>
      </c>
      <c r="P97" s="6">
        <f t="shared" si="25"/>
        <v>0</v>
      </c>
      <c r="Q97" s="6">
        <f t="shared" si="26"/>
        <v>0</v>
      </c>
      <c r="R97" s="6">
        <f t="shared" si="27"/>
        <v>1</v>
      </c>
      <c r="S97" s="6">
        <f t="shared" si="28"/>
        <v>0</v>
      </c>
      <c r="T97" s="6">
        <f t="shared" si="29"/>
        <v>0</v>
      </c>
      <c r="U97" s="6">
        <f t="shared" si="30"/>
        <v>0</v>
      </c>
      <c r="V97" s="6">
        <f t="shared" si="31"/>
        <v>1</v>
      </c>
    </row>
    <row r="98" spans="1:22">
      <c r="A98" s="13">
        <v>39354</v>
      </c>
      <c r="B98" s="7">
        <v>4</v>
      </c>
      <c r="C98" s="6" t="s">
        <v>229</v>
      </c>
      <c r="D98" s="6">
        <v>15</v>
      </c>
      <c r="E98" s="6" t="s">
        <v>51</v>
      </c>
      <c r="F98" s="6" t="s">
        <v>37</v>
      </c>
      <c r="G98" s="6">
        <f t="shared" si="16"/>
        <v>0</v>
      </c>
      <c r="H98" s="6">
        <f t="shared" si="17"/>
        <v>0</v>
      </c>
      <c r="I98" s="6">
        <f t="shared" si="18"/>
        <v>1</v>
      </c>
      <c r="J98" s="6">
        <f t="shared" si="19"/>
        <v>0</v>
      </c>
      <c r="K98" s="6">
        <f t="shared" si="20"/>
        <v>0</v>
      </c>
      <c r="L98" s="6">
        <f t="shared" si="21"/>
        <v>0</v>
      </c>
      <c r="M98" s="6">
        <f t="shared" si="22"/>
        <v>0</v>
      </c>
      <c r="N98" s="6">
        <f t="shared" si="23"/>
        <v>0</v>
      </c>
      <c r="O98" s="6">
        <f t="shared" si="24"/>
        <v>1</v>
      </c>
      <c r="P98" s="6">
        <f t="shared" si="25"/>
        <v>0</v>
      </c>
      <c r="Q98" s="6">
        <f t="shared" si="26"/>
        <v>0</v>
      </c>
      <c r="R98" s="6">
        <f t="shared" si="27"/>
        <v>0</v>
      </c>
      <c r="S98" s="6">
        <f t="shared" si="28"/>
        <v>1</v>
      </c>
      <c r="T98" s="6">
        <f t="shared" si="29"/>
        <v>1</v>
      </c>
      <c r="U98" s="6">
        <f t="shared" si="30"/>
        <v>0</v>
      </c>
      <c r="V98" s="6">
        <f t="shared" si="31"/>
        <v>0</v>
      </c>
    </row>
    <row r="99" spans="1:22">
      <c r="A99" s="13">
        <v>15725</v>
      </c>
      <c r="B99" s="7">
        <v>15</v>
      </c>
      <c r="C99" s="6" t="s">
        <v>227</v>
      </c>
      <c r="D99" s="6">
        <v>14</v>
      </c>
      <c r="E99" s="6" t="s">
        <v>47</v>
      </c>
      <c r="F99" s="6" t="s">
        <v>37</v>
      </c>
      <c r="G99" s="6">
        <f t="shared" si="16"/>
        <v>0</v>
      </c>
      <c r="H99" s="6">
        <f t="shared" si="17"/>
        <v>1</v>
      </c>
      <c r="I99" s="6">
        <f t="shared" si="18"/>
        <v>0</v>
      </c>
      <c r="J99" s="6">
        <f t="shared" si="19"/>
        <v>0</v>
      </c>
      <c r="K99" s="6">
        <f t="shared" si="20"/>
        <v>0</v>
      </c>
      <c r="L99" s="6">
        <f t="shared" si="21"/>
        <v>0</v>
      </c>
      <c r="M99" s="6">
        <f t="shared" si="22"/>
        <v>0</v>
      </c>
      <c r="N99" s="6">
        <f t="shared" si="23"/>
        <v>0</v>
      </c>
      <c r="O99" s="6">
        <f t="shared" si="24"/>
        <v>1</v>
      </c>
      <c r="P99" s="6">
        <f t="shared" si="25"/>
        <v>0</v>
      </c>
      <c r="Q99" s="6">
        <f t="shared" si="26"/>
        <v>0</v>
      </c>
      <c r="R99" s="6">
        <f t="shared" si="27"/>
        <v>0</v>
      </c>
      <c r="S99" s="6">
        <f t="shared" si="28"/>
        <v>1</v>
      </c>
      <c r="T99" s="6">
        <f t="shared" si="29"/>
        <v>1</v>
      </c>
      <c r="U99" s="6">
        <f t="shared" si="30"/>
        <v>0</v>
      </c>
      <c r="V99" s="6">
        <f t="shared" si="31"/>
        <v>0</v>
      </c>
    </row>
    <row r="100" spans="1:22">
      <c r="A100" s="13">
        <v>30432</v>
      </c>
      <c r="B100" s="7">
        <v>14</v>
      </c>
      <c r="C100" s="6" t="s">
        <v>235</v>
      </c>
      <c r="D100" s="6">
        <v>14</v>
      </c>
      <c r="E100" s="6" t="s">
        <v>45</v>
      </c>
      <c r="F100" s="6" t="s">
        <v>37</v>
      </c>
      <c r="G100" s="6">
        <f t="shared" si="16"/>
        <v>0</v>
      </c>
      <c r="H100" s="6">
        <f t="shared" si="17"/>
        <v>0</v>
      </c>
      <c r="I100" s="6">
        <f t="shared" si="18"/>
        <v>0</v>
      </c>
      <c r="J100" s="6">
        <f t="shared" si="19"/>
        <v>0</v>
      </c>
      <c r="K100" s="6">
        <f t="shared" si="20"/>
        <v>0</v>
      </c>
      <c r="L100" s="6">
        <f t="shared" si="21"/>
        <v>1</v>
      </c>
      <c r="M100" s="6">
        <f t="shared" si="22"/>
        <v>0</v>
      </c>
      <c r="N100" s="6">
        <f t="shared" si="23"/>
        <v>0</v>
      </c>
      <c r="O100" s="6">
        <f t="shared" si="24"/>
        <v>1</v>
      </c>
      <c r="P100" s="6">
        <f t="shared" si="25"/>
        <v>0</v>
      </c>
      <c r="Q100" s="6">
        <f t="shared" si="26"/>
        <v>0</v>
      </c>
      <c r="R100" s="6">
        <f t="shared" si="27"/>
        <v>0</v>
      </c>
      <c r="S100" s="6">
        <f t="shared" si="28"/>
        <v>1</v>
      </c>
      <c r="T100" s="6">
        <f t="shared" si="29"/>
        <v>1</v>
      </c>
      <c r="U100" s="6">
        <f t="shared" si="30"/>
        <v>0</v>
      </c>
      <c r="V100" s="6">
        <f t="shared" si="31"/>
        <v>0</v>
      </c>
    </row>
    <row r="101" spans="1:22">
      <c r="A101" s="13">
        <v>14066</v>
      </c>
      <c r="B101" s="7">
        <v>3</v>
      </c>
      <c r="C101" s="6" t="s">
        <v>229</v>
      </c>
      <c r="D101" s="6">
        <v>13</v>
      </c>
      <c r="E101" s="6" t="s">
        <v>42</v>
      </c>
      <c r="F101" s="6" t="s">
        <v>58</v>
      </c>
      <c r="G101" s="6">
        <f t="shared" si="16"/>
        <v>0</v>
      </c>
      <c r="H101" s="6">
        <f t="shared" si="17"/>
        <v>0</v>
      </c>
      <c r="I101" s="6">
        <f t="shared" si="18"/>
        <v>1</v>
      </c>
      <c r="J101" s="6">
        <f t="shared" si="19"/>
        <v>0</v>
      </c>
      <c r="K101" s="6">
        <f t="shared" si="20"/>
        <v>0</v>
      </c>
      <c r="L101" s="6">
        <f t="shared" si="21"/>
        <v>0</v>
      </c>
      <c r="M101" s="6">
        <f t="shared" si="22"/>
        <v>0</v>
      </c>
      <c r="N101" s="6">
        <f t="shared" si="23"/>
        <v>0</v>
      </c>
      <c r="O101" s="6">
        <f t="shared" si="24"/>
        <v>1</v>
      </c>
      <c r="P101" s="6">
        <f t="shared" si="25"/>
        <v>0</v>
      </c>
      <c r="Q101" s="6">
        <f t="shared" si="26"/>
        <v>0</v>
      </c>
      <c r="R101" s="6">
        <f t="shared" si="27"/>
        <v>1</v>
      </c>
      <c r="S101" s="6">
        <f t="shared" si="28"/>
        <v>0</v>
      </c>
      <c r="T101" s="6">
        <f t="shared" si="29"/>
        <v>0</v>
      </c>
      <c r="U101" s="6">
        <f t="shared" si="30"/>
        <v>0</v>
      </c>
      <c r="V101" s="6">
        <f t="shared" si="31"/>
        <v>1</v>
      </c>
    </row>
    <row r="102" spans="1:22">
      <c r="A102" s="13">
        <v>17384</v>
      </c>
      <c r="B102" s="7">
        <v>10</v>
      </c>
      <c r="C102" s="6" t="s">
        <v>227</v>
      </c>
      <c r="D102" s="6">
        <v>11</v>
      </c>
      <c r="E102" s="6" t="s">
        <v>47</v>
      </c>
      <c r="F102" s="6" t="s">
        <v>58</v>
      </c>
      <c r="G102" s="6">
        <f t="shared" si="16"/>
        <v>0</v>
      </c>
      <c r="H102" s="6">
        <f t="shared" si="17"/>
        <v>1</v>
      </c>
      <c r="I102" s="6">
        <f t="shared" si="18"/>
        <v>0</v>
      </c>
      <c r="J102" s="6">
        <f t="shared" si="19"/>
        <v>0</v>
      </c>
      <c r="K102" s="6">
        <f t="shared" si="20"/>
        <v>0</v>
      </c>
      <c r="L102" s="6">
        <f t="shared" si="21"/>
        <v>0</v>
      </c>
      <c r="M102" s="6">
        <f t="shared" si="22"/>
        <v>0</v>
      </c>
      <c r="N102" s="6">
        <f t="shared" si="23"/>
        <v>1</v>
      </c>
      <c r="O102" s="6">
        <f t="shared" si="24"/>
        <v>0</v>
      </c>
      <c r="P102" s="6">
        <f t="shared" si="25"/>
        <v>0</v>
      </c>
      <c r="Q102" s="6">
        <f t="shared" si="26"/>
        <v>0</v>
      </c>
      <c r="R102" s="6">
        <f t="shared" si="27"/>
        <v>0</v>
      </c>
      <c r="S102" s="6">
        <f t="shared" si="28"/>
        <v>1</v>
      </c>
      <c r="T102" s="6">
        <f t="shared" si="29"/>
        <v>0</v>
      </c>
      <c r="U102" s="6">
        <f t="shared" si="30"/>
        <v>0</v>
      </c>
      <c r="V102" s="6">
        <f t="shared" si="31"/>
        <v>1</v>
      </c>
    </row>
    <row r="103" spans="1:22">
      <c r="A103" s="13">
        <v>26548</v>
      </c>
      <c r="B103" s="7">
        <v>5</v>
      </c>
      <c r="C103" s="6" t="s">
        <v>230</v>
      </c>
      <c r="D103" s="6">
        <v>13</v>
      </c>
      <c r="E103" s="6" t="s">
        <v>18</v>
      </c>
      <c r="F103" s="6" t="s">
        <v>35</v>
      </c>
      <c r="G103" s="6">
        <f t="shared" si="16"/>
        <v>0</v>
      </c>
      <c r="H103" s="6">
        <f t="shared" si="17"/>
        <v>0</v>
      </c>
      <c r="I103" s="6">
        <f t="shared" si="18"/>
        <v>1</v>
      </c>
      <c r="J103" s="6">
        <f t="shared" si="19"/>
        <v>0</v>
      </c>
      <c r="K103" s="6">
        <f t="shared" si="20"/>
        <v>0</v>
      </c>
      <c r="L103" s="6">
        <f t="shared" si="21"/>
        <v>0</v>
      </c>
      <c r="M103" s="6">
        <f t="shared" si="22"/>
        <v>0</v>
      </c>
      <c r="N103" s="6">
        <f t="shared" si="23"/>
        <v>0</v>
      </c>
      <c r="O103" s="6">
        <f t="shared" si="24"/>
        <v>1</v>
      </c>
      <c r="P103" s="6">
        <f t="shared" si="25"/>
        <v>0</v>
      </c>
      <c r="Q103" s="6">
        <f t="shared" si="26"/>
        <v>0</v>
      </c>
      <c r="R103" s="6">
        <f t="shared" si="27"/>
        <v>0</v>
      </c>
      <c r="S103" s="6">
        <f t="shared" si="28"/>
        <v>1</v>
      </c>
      <c r="T103" s="6">
        <f t="shared" si="29"/>
        <v>1</v>
      </c>
      <c r="U103" s="6">
        <f t="shared" si="30"/>
        <v>0</v>
      </c>
      <c r="V103" s="6">
        <f t="shared" si="31"/>
        <v>0</v>
      </c>
    </row>
    <row r="104" spans="1:22">
      <c r="A104" s="13">
        <v>12480</v>
      </c>
      <c r="B104" s="7">
        <v>6</v>
      </c>
      <c r="C104" s="6" t="s">
        <v>227</v>
      </c>
      <c r="D104" s="6">
        <v>18</v>
      </c>
      <c r="E104" s="6" t="s">
        <v>49</v>
      </c>
      <c r="F104" s="6" t="s">
        <v>60</v>
      </c>
      <c r="G104" s="6">
        <f t="shared" si="16"/>
        <v>0</v>
      </c>
      <c r="H104" s="6">
        <f t="shared" si="17"/>
        <v>1</v>
      </c>
      <c r="I104" s="6">
        <f t="shared" si="18"/>
        <v>0</v>
      </c>
      <c r="J104" s="6">
        <f t="shared" si="19"/>
        <v>0</v>
      </c>
      <c r="K104" s="6">
        <f t="shared" si="20"/>
        <v>0</v>
      </c>
      <c r="L104" s="6">
        <f t="shared" si="21"/>
        <v>0</v>
      </c>
      <c r="M104" s="6">
        <f t="shared" si="22"/>
        <v>0</v>
      </c>
      <c r="N104" s="6">
        <f t="shared" si="23"/>
        <v>0</v>
      </c>
      <c r="O104" s="6">
        <f t="shared" si="24"/>
        <v>0</v>
      </c>
      <c r="P104" s="6">
        <f t="shared" si="25"/>
        <v>1</v>
      </c>
      <c r="Q104" s="6">
        <f t="shared" si="26"/>
        <v>0</v>
      </c>
      <c r="R104" s="6">
        <f t="shared" si="27"/>
        <v>0</v>
      </c>
      <c r="S104" s="6">
        <f t="shared" si="28"/>
        <v>1</v>
      </c>
      <c r="T104" s="6">
        <f t="shared" si="29"/>
        <v>0</v>
      </c>
      <c r="U104" s="6">
        <f t="shared" si="30"/>
        <v>0</v>
      </c>
      <c r="V104" s="6">
        <f t="shared" si="31"/>
        <v>1</v>
      </c>
    </row>
    <row r="105" spans="1:22">
      <c r="A105" s="13">
        <v>6288</v>
      </c>
      <c r="B105" s="7">
        <v>7</v>
      </c>
      <c r="C105" s="6" t="s">
        <v>225</v>
      </c>
      <c r="D105" s="6">
        <v>22</v>
      </c>
      <c r="E105" s="6" t="s">
        <v>53</v>
      </c>
      <c r="F105" s="6" t="s">
        <v>60</v>
      </c>
      <c r="G105" s="6">
        <f t="shared" si="16"/>
        <v>1</v>
      </c>
      <c r="H105" s="6">
        <f t="shared" si="17"/>
        <v>0</v>
      </c>
      <c r="I105" s="6">
        <f t="shared" si="18"/>
        <v>0</v>
      </c>
      <c r="J105" s="6">
        <f t="shared" si="19"/>
        <v>0</v>
      </c>
      <c r="K105" s="6">
        <f t="shared" si="20"/>
        <v>0</v>
      </c>
      <c r="L105" s="6">
        <f t="shared" si="21"/>
        <v>0</v>
      </c>
      <c r="M105" s="6">
        <f t="shared" si="22"/>
        <v>0</v>
      </c>
      <c r="N105" s="6">
        <f t="shared" si="23"/>
        <v>0</v>
      </c>
      <c r="O105" s="6">
        <f t="shared" si="24"/>
        <v>0</v>
      </c>
      <c r="P105" s="6">
        <f t="shared" si="25"/>
        <v>0</v>
      </c>
      <c r="Q105" s="6">
        <f t="shared" si="26"/>
        <v>1</v>
      </c>
      <c r="R105" s="6">
        <f t="shared" si="27"/>
        <v>1</v>
      </c>
      <c r="S105" s="6">
        <f t="shared" si="28"/>
        <v>0</v>
      </c>
      <c r="T105" s="6">
        <f t="shared" si="29"/>
        <v>0</v>
      </c>
      <c r="U105" s="6">
        <f t="shared" si="30"/>
        <v>0</v>
      </c>
      <c r="V105" s="6">
        <f t="shared" si="31"/>
        <v>1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E105"/>
  <sheetViews>
    <sheetView workbookViewId="0"/>
  </sheetViews>
  <sheetFormatPr defaultRowHeight="13.5"/>
  <cols>
    <col min="1" max="16384" width="9" style="6"/>
  </cols>
  <sheetData>
    <row r="2" spans="1:31">
      <c r="A2" s="6" t="s">
        <v>259</v>
      </c>
      <c r="W2" s="6" t="s">
        <v>257</v>
      </c>
    </row>
    <row r="4" spans="1:31" ht="14.25" thickBot="1">
      <c r="A4" s="6" t="s">
        <v>6</v>
      </c>
      <c r="F4" s="6" t="s">
        <v>258</v>
      </c>
    </row>
    <row r="5" spans="1:31">
      <c r="A5" s="29" t="s">
        <v>247</v>
      </c>
      <c r="B5" s="29"/>
      <c r="C5" s="29" t="s">
        <v>246</v>
      </c>
      <c r="D5" s="29"/>
      <c r="E5" s="29"/>
      <c r="F5" s="31" t="s">
        <v>81</v>
      </c>
      <c r="G5" s="31"/>
      <c r="H5" s="31"/>
      <c r="I5" s="31"/>
      <c r="J5" s="31" t="s">
        <v>178</v>
      </c>
      <c r="K5" s="31"/>
      <c r="L5" s="31"/>
      <c r="M5" s="31"/>
      <c r="N5" s="31"/>
      <c r="O5" s="31"/>
      <c r="P5" s="31"/>
      <c r="Q5" s="31" t="s">
        <v>80</v>
      </c>
      <c r="R5" s="31"/>
      <c r="S5" s="31"/>
      <c r="T5" s="31"/>
      <c r="U5" s="31"/>
      <c r="W5" s="28" t="s">
        <v>183</v>
      </c>
      <c r="X5" s="28"/>
      <c r="Y5"/>
      <c r="Z5"/>
      <c r="AA5"/>
      <c r="AB5"/>
      <c r="AC5"/>
      <c r="AD5"/>
      <c r="AE5"/>
    </row>
    <row r="6" spans="1:31">
      <c r="A6" s="29" t="s">
        <v>0</v>
      </c>
      <c r="B6" s="29" t="s">
        <v>1</v>
      </c>
      <c r="C6" s="29" t="s">
        <v>81</v>
      </c>
      <c r="D6" s="29" t="s">
        <v>178</v>
      </c>
      <c r="E6" s="29" t="s">
        <v>80</v>
      </c>
      <c r="F6" s="31" t="s">
        <v>248</v>
      </c>
      <c r="G6" s="31" t="s">
        <v>249</v>
      </c>
      <c r="H6" s="31" t="s">
        <v>250</v>
      </c>
      <c r="I6" s="31" t="s">
        <v>251</v>
      </c>
      <c r="J6" s="31" t="s">
        <v>43</v>
      </c>
      <c r="K6" s="31" t="s">
        <v>44</v>
      </c>
      <c r="L6" s="31" t="s">
        <v>46</v>
      </c>
      <c r="M6" s="31" t="s">
        <v>212</v>
      </c>
      <c r="N6" s="31" t="s">
        <v>213</v>
      </c>
      <c r="O6" s="31" t="s">
        <v>214</v>
      </c>
      <c r="P6" s="31" t="s">
        <v>54</v>
      </c>
      <c r="Q6" s="31" t="s">
        <v>36</v>
      </c>
      <c r="R6" s="31" t="s">
        <v>38</v>
      </c>
      <c r="S6" s="31" t="s">
        <v>40</v>
      </c>
      <c r="T6" s="31" t="s">
        <v>59</v>
      </c>
      <c r="U6" s="31" t="s">
        <v>61</v>
      </c>
      <c r="W6" s="25" t="s">
        <v>184</v>
      </c>
      <c r="X6" s="25">
        <v>0.5426632200172985</v>
      </c>
      <c r="Y6"/>
      <c r="Z6"/>
      <c r="AA6"/>
      <c r="AB6"/>
      <c r="AC6"/>
      <c r="AD6"/>
      <c r="AE6"/>
    </row>
    <row r="7" spans="1:31">
      <c r="A7" s="13">
        <v>31309</v>
      </c>
      <c r="B7" s="7">
        <f ca="1">INT(RANDBETWEEN(3,15))</f>
        <v>11</v>
      </c>
      <c r="C7" s="6">
        <v>10</v>
      </c>
      <c r="D7" s="6" t="s">
        <v>42</v>
      </c>
      <c r="E7" s="6" t="s">
        <v>39</v>
      </c>
      <c r="F7" s="6">
        <f>IF(OR($C7=10, $C7=11, $C7=12), 1, 0)</f>
        <v>1</v>
      </c>
      <c r="G7" s="6">
        <f>IF(OR($C7=13, $C7=14, $C7=15), 1, 0)</f>
        <v>0</v>
      </c>
      <c r="H7" s="6">
        <f>IF(OR($C7=16, $C7=17, $C7=18), 1, 0)</f>
        <v>0</v>
      </c>
      <c r="I7" s="6">
        <f>IF(OR($C7=19, $C7=20, $C7=21, $C7=22), 1, 0)</f>
        <v>0</v>
      </c>
      <c r="J7" s="6">
        <f t="shared" ref="J7:P7" si="0">IF($D7=J$6, 1, 0)</f>
        <v>1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 t="shared" si="0"/>
        <v>0</v>
      </c>
      <c r="Q7" s="6">
        <f>IF($E7=Q$6, 1, 0)</f>
        <v>0</v>
      </c>
      <c r="R7" s="6">
        <f>IF($E7=R$6, 1, 0)</f>
        <v>0</v>
      </c>
      <c r="S7" s="6">
        <f>IF($E7=S$6, 1, 0)</f>
        <v>1</v>
      </c>
      <c r="T7" s="6">
        <f>IF($E7=T$6, 1, 0)</f>
        <v>0</v>
      </c>
      <c r="U7" s="6">
        <f>IF($E7=U$6, 1, 0)</f>
        <v>0</v>
      </c>
      <c r="W7" s="25" t="s">
        <v>185</v>
      </c>
      <c r="X7" s="25">
        <v>0.29448337035954292</v>
      </c>
      <c r="Y7"/>
      <c r="Z7"/>
      <c r="AA7"/>
      <c r="AB7"/>
      <c r="AC7"/>
      <c r="AD7"/>
      <c r="AE7"/>
    </row>
    <row r="8" spans="1:31">
      <c r="A8" s="13">
        <v>24206</v>
      </c>
      <c r="B8" s="7">
        <f t="shared" ref="B8:B71" ca="1" si="1">INT(RANDBETWEEN(3,15))</f>
        <v>6</v>
      </c>
      <c r="C8" s="6">
        <v>14</v>
      </c>
      <c r="D8" s="6" t="s">
        <v>18</v>
      </c>
      <c r="E8" s="6" t="s">
        <v>39</v>
      </c>
      <c r="F8" s="6">
        <f t="shared" ref="F8:F71" si="2">IF(OR($C8=10, $C8=11, $C8=12), 1, 0)</f>
        <v>0</v>
      </c>
      <c r="G8" s="6">
        <f t="shared" ref="G8:G71" si="3">IF(OR($C8=13, $C8=14, $C8=15), 1, 0)</f>
        <v>1</v>
      </c>
      <c r="H8" s="6">
        <f t="shared" ref="H8:H71" si="4">IF(OR($C8=16, $C8=17, $C8=18), 1, 0)</f>
        <v>0</v>
      </c>
      <c r="I8" s="6">
        <f t="shared" ref="I8:I71" si="5">IF(OR($C8=19, $C8=20, $C8=21, $C8=22), 1, 0)</f>
        <v>0</v>
      </c>
      <c r="J8" s="6">
        <f t="shared" ref="J8:P39" si="6">IF($D8=J$6, 1, 0)</f>
        <v>0</v>
      </c>
      <c r="K8" s="6">
        <f t="shared" si="6"/>
        <v>1</v>
      </c>
      <c r="L8" s="6">
        <f t="shared" si="6"/>
        <v>0</v>
      </c>
      <c r="M8" s="6">
        <f t="shared" si="6"/>
        <v>0</v>
      </c>
      <c r="N8" s="6">
        <f t="shared" si="6"/>
        <v>0</v>
      </c>
      <c r="O8" s="6">
        <f t="shared" si="6"/>
        <v>0</v>
      </c>
      <c r="P8" s="6">
        <f t="shared" si="6"/>
        <v>0</v>
      </c>
      <c r="Q8" s="6">
        <f t="shared" ref="Q8:U39" si="7">IF($E8=Q$6, 1, 0)</f>
        <v>0</v>
      </c>
      <c r="R8" s="6">
        <f t="shared" si="7"/>
        <v>0</v>
      </c>
      <c r="S8" s="6">
        <f t="shared" si="7"/>
        <v>1</v>
      </c>
      <c r="T8" s="6">
        <f t="shared" si="7"/>
        <v>0</v>
      </c>
      <c r="U8" s="6">
        <f t="shared" si="7"/>
        <v>0</v>
      </c>
      <c r="W8" s="25" t="s">
        <v>186</v>
      </c>
      <c r="X8" s="25">
        <v>0.15128670935570829</v>
      </c>
      <c r="Y8"/>
      <c r="Z8"/>
      <c r="AA8"/>
      <c r="AB8"/>
      <c r="AC8"/>
      <c r="AD8"/>
      <c r="AE8"/>
    </row>
    <row r="9" spans="1:31">
      <c r="A9" s="13">
        <v>28098</v>
      </c>
      <c r="B9" s="7">
        <f t="shared" ca="1" si="1"/>
        <v>4</v>
      </c>
      <c r="C9" s="6">
        <v>16</v>
      </c>
      <c r="D9" s="6" t="s">
        <v>47</v>
      </c>
      <c r="E9" s="6" t="s">
        <v>58</v>
      </c>
      <c r="F9" s="6">
        <f t="shared" si="2"/>
        <v>0</v>
      </c>
      <c r="G9" s="6">
        <f t="shared" si="3"/>
        <v>0</v>
      </c>
      <c r="H9" s="6">
        <f t="shared" si="4"/>
        <v>1</v>
      </c>
      <c r="I9" s="6">
        <f t="shared" si="5"/>
        <v>0</v>
      </c>
      <c r="J9" s="6">
        <f t="shared" si="6"/>
        <v>0</v>
      </c>
      <c r="K9" s="6">
        <f t="shared" si="6"/>
        <v>0</v>
      </c>
      <c r="L9" s="6">
        <f t="shared" si="6"/>
        <v>0</v>
      </c>
      <c r="M9" s="6">
        <f t="shared" si="6"/>
        <v>1</v>
      </c>
      <c r="N9" s="6">
        <f t="shared" si="6"/>
        <v>0</v>
      </c>
      <c r="O9" s="6">
        <f t="shared" si="6"/>
        <v>0</v>
      </c>
      <c r="P9" s="6">
        <f t="shared" si="6"/>
        <v>0</v>
      </c>
      <c r="Q9" s="6">
        <f t="shared" si="7"/>
        <v>0</v>
      </c>
      <c r="R9" s="6">
        <f t="shared" si="7"/>
        <v>0</v>
      </c>
      <c r="S9" s="6">
        <f t="shared" si="7"/>
        <v>0</v>
      </c>
      <c r="T9" s="6">
        <f t="shared" si="7"/>
        <v>1</v>
      </c>
      <c r="U9" s="6">
        <f t="shared" si="7"/>
        <v>0</v>
      </c>
      <c r="W9" s="25" t="s">
        <v>187</v>
      </c>
      <c r="X9" s="25">
        <v>7044.4255515223331</v>
      </c>
      <c r="Y9"/>
      <c r="Z9"/>
      <c r="AA9"/>
      <c r="AB9"/>
      <c r="AC9"/>
      <c r="AD9"/>
      <c r="AE9"/>
    </row>
    <row r="10" spans="1:31" ht="14.25" thickBot="1">
      <c r="A10" s="13">
        <v>32207</v>
      </c>
      <c r="B10" s="7">
        <f t="shared" ca="1" si="1"/>
        <v>11</v>
      </c>
      <c r="C10" s="6">
        <v>20</v>
      </c>
      <c r="D10" s="6" t="s">
        <v>42</v>
      </c>
      <c r="E10" s="6" t="s">
        <v>39</v>
      </c>
      <c r="F10" s="6">
        <f t="shared" si="2"/>
        <v>0</v>
      </c>
      <c r="G10" s="6">
        <f t="shared" si="3"/>
        <v>0</v>
      </c>
      <c r="H10" s="6">
        <f t="shared" si="4"/>
        <v>0</v>
      </c>
      <c r="I10" s="6">
        <f t="shared" si="5"/>
        <v>1</v>
      </c>
      <c r="J10" s="6">
        <f t="shared" si="6"/>
        <v>1</v>
      </c>
      <c r="K10" s="6">
        <f t="shared" si="6"/>
        <v>0</v>
      </c>
      <c r="L10" s="6">
        <f t="shared" si="6"/>
        <v>0</v>
      </c>
      <c r="M10" s="6">
        <f t="shared" si="6"/>
        <v>0</v>
      </c>
      <c r="N10" s="6">
        <f t="shared" si="6"/>
        <v>0</v>
      </c>
      <c r="O10" s="6">
        <f t="shared" si="6"/>
        <v>0</v>
      </c>
      <c r="P10" s="6">
        <f t="shared" si="6"/>
        <v>0</v>
      </c>
      <c r="Q10" s="6">
        <f t="shared" si="7"/>
        <v>0</v>
      </c>
      <c r="R10" s="6">
        <f t="shared" si="7"/>
        <v>0</v>
      </c>
      <c r="S10" s="6">
        <f t="shared" si="7"/>
        <v>1</v>
      </c>
      <c r="T10" s="6">
        <f t="shared" si="7"/>
        <v>0</v>
      </c>
      <c r="U10" s="6">
        <f t="shared" si="7"/>
        <v>0</v>
      </c>
      <c r="W10" s="26" t="s">
        <v>188</v>
      </c>
      <c r="X10" s="26">
        <v>99</v>
      </c>
      <c r="Y10"/>
      <c r="Z10"/>
      <c r="AA10"/>
      <c r="AB10"/>
      <c r="AC10"/>
      <c r="AD10"/>
      <c r="AE10"/>
    </row>
    <row r="11" spans="1:31">
      <c r="A11" s="13">
        <v>10595</v>
      </c>
      <c r="B11" s="7">
        <f t="shared" ca="1" si="1"/>
        <v>14</v>
      </c>
      <c r="C11" s="6">
        <v>14</v>
      </c>
      <c r="D11" s="6" t="s">
        <v>18</v>
      </c>
      <c r="E11" s="6" t="s">
        <v>35</v>
      </c>
      <c r="F11" s="6">
        <f t="shared" si="2"/>
        <v>0</v>
      </c>
      <c r="G11" s="6">
        <f t="shared" si="3"/>
        <v>1</v>
      </c>
      <c r="H11" s="6">
        <f t="shared" si="4"/>
        <v>0</v>
      </c>
      <c r="I11" s="6">
        <f t="shared" si="5"/>
        <v>0</v>
      </c>
      <c r="J11" s="6">
        <f t="shared" si="6"/>
        <v>0</v>
      </c>
      <c r="K11" s="6">
        <f t="shared" si="6"/>
        <v>1</v>
      </c>
      <c r="L11" s="6">
        <f t="shared" si="6"/>
        <v>0</v>
      </c>
      <c r="M11" s="6">
        <f t="shared" si="6"/>
        <v>0</v>
      </c>
      <c r="N11" s="6">
        <f t="shared" si="6"/>
        <v>0</v>
      </c>
      <c r="O11" s="6">
        <f t="shared" si="6"/>
        <v>0</v>
      </c>
      <c r="P11" s="6">
        <f t="shared" si="6"/>
        <v>0</v>
      </c>
      <c r="Q11" s="6">
        <f t="shared" si="7"/>
        <v>1</v>
      </c>
      <c r="R11" s="6">
        <f t="shared" si="7"/>
        <v>0</v>
      </c>
      <c r="S11" s="6">
        <f t="shared" si="7"/>
        <v>0</v>
      </c>
      <c r="T11" s="6">
        <f t="shared" si="7"/>
        <v>0</v>
      </c>
      <c r="U11" s="6">
        <f t="shared" si="7"/>
        <v>0</v>
      </c>
      <c r="W11"/>
      <c r="X11"/>
      <c r="Y11"/>
      <c r="Z11"/>
      <c r="AA11"/>
      <c r="AB11"/>
      <c r="AC11"/>
      <c r="AD11"/>
      <c r="AE11"/>
    </row>
    <row r="12" spans="1:31" ht="14.25" thickBot="1">
      <c r="A12" s="13">
        <v>30068</v>
      </c>
      <c r="B12" s="7">
        <f t="shared" ca="1" si="1"/>
        <v>6</v>
      </c>
      <c r="C12" s="6">
        <v>22</v>
      </c>
      <c r="D12" s="6" t="s">
        <v>42</v>
      </c>
      <c r="E12" s="6" t="s">
        <v>37</v>
      </c>
      <c r="F12" s="6">
        <f t="shared" si="2"/>
        <v>0</v>
      </c>
      <c r="G12" s="6">
        <f t="shared" si="3"/>
        <v>0</v>
      </c>
      <c r="H12" s="6">
        <f t="shared" si="4"/>
        <v>0</v>
      </c>
      <c r="I12" s="6">
        <f t="shared" si="5"/>
        <v>1</v>
      </c>
      <c r="J12" s="6">
        <f t="shared" si="6"/>
        <v>1</v>
      </c>
      <c r="K12" s="6">
        <f t="shared" si="6"/>
        <v>0</v>
      </c>
      <c r="L12" s="6">
        <f t="shared" si="6"/>
        <v>0</v>
      </c>
      <c r="M12" s="6">
        <f t="shared" si="6"/>
        <v>0</v>
      </c>
      <c r="N12" s="6">
        <f t="shared" si="6"/>
        <v>0</v>
      </c>
      <c r="O12" s="6">
        <f t="shared" si="6"/>
        <v>0</v>
      </c>
      <c r="P12" s="6">
        <f t="shared" si="6"/>
        <v>0</v>
      </c>
      <c r="Q12" s="6">
        <f t="shared" si="7"/>
        <v>0</v>
      </c>
      <c r="R12" s="6">
        <f t="shared" si="7"/>
        <v>1</v>
      </c>
      <c r="S12" s="6">
        <f t="shared" si="7"/>
        <v>0</v>
      </c>
      <c r="T12" s="6">
        <f t="shared" si="7"/>
        <v>0</v>
      </c>
      <c r="U12" s="6">
        <f t="shared" si="7"/>
        <v>0</v>
      </c>
      <c r="W12" t="s">
        <v>189</v>
      </c>
      <c r="X12"/>
      <c r="Y12"/>
      <c r="Z12"/>
      <c r="AA12"/>
      <c r="AB12"/>
      <c r="AC12"/>
      <c r="AD12"/>
      <c r="AE12"/>
    </row>
    <row r="13" spans="1:31">
      <c r="A13" s="13">
        <v>7907</v>
      </c>
      <c r="B13" s="7">
        <f t="shared" ca="1" si="1"/>
        <v>11</v>
      </c>
      <c r="C13" s="6">
        <v>21</v>
      </c>
      <c r="D13" s="6" t="s">
        <v>42</v>
      </c>
      <c r="E13" s="6" t="s">
        <v>58</v>
      </c>
      <c r="F13" s="6">
        <f t="shared" si="2"/>
        <v>0</v>
      </c>
      <c r="G13" s="6">
        <f t="shared" si="3"/>
        <v>0</v>
      </c>
      <c r="H13" s="6">
        <f t="shared" si="4"/>
        <v>0</v>
      </c>
      <c r="I13" s="6">
        <f t="shared" si="5"/>
        <v>1</v>
      </c>
      <c r="J13" s="6">
        <f t="shared" si="6"/>
        <v>1</v>
      </c>
      <c r="K13" s="6">
        <f t="shared" si="6"/>
        <v>0</v>
      </c>
      <c r="L13" s="6">
        <f t="shared" si="6"/>
        <v>0</v>
      </c>
      <c r="M13" s="6">
        <f t="shared" si="6"/>
        <v>0</v>
      </c>
      <c r="N13" s="6">
        <f t="shared" si="6"/>
        <v>0</v>
      </c>
      <c r="O13" s="6">
        <f t="shared" si="6"/>
        <v>0</v>
      </c>
      <c r="P13" s="6">
        <f t="shared" si="6"/>
        <v>0</v>
      </c>
      <c r="Q13" s="6">
        <f t="shared" si="7"/>
        <v>0</v>
      </c>
      <c r="R13" s="6">
        <f t="shared" si="7"/>
        <v>0</v>
      </c>
      <c r="S13" s="6">
        <f t="shared" si="7"/>
        <v>0</v>
      </c>
      <c r="T13" s="6">
        <f t="shared" si="7"/>
        <v>1</v>
      </c>
      <c r="U13" s="6">
        <f t="shared" si="7"/>
        <v>0</v>
      </c>
      <c r="W13" s="27"/>
      <c r="X13" s="27" t="s">
        <v>102</v>
      </c>
      <c r="Y13" s="27" t="s">
        <v>191</v>
      </c>
      <c r="Z13" s="27" t="s">
        <v>192</v>
      </c>
      <c r="AA13" s="27" t="s">
        <v>193</v>
      </c>
      <c r="AB13" s="27" t="s">
        <v>194</v>
      </c>
      <c r="AC13"/>
      <c r="AD13"/>
      <c r="AE13"/>
    </row>
    <row r="14" spans="1:31">
      <c r="A14" s="13">
        <v>13692</v>
      </c>
      <c r="B14" s="7">
        <f t="shared" ca="1" si="1"/>
        <v>13</v>
      </c>
      <c r="C14" s="6">
        <v>15</v>
      </c>
      <c r="D14" s="6" t="s">
        <v>53</v>
      </c>
      <c r="E14" s="6" t="s">
        <v>39</v>
      </c>
      <c r="F14" s="6">
        <f t="shared" si="2"/>
        <v>0</v>
      </c>
      <c r="G14" s="6">
        <f t="shared" si="3"/>
        <v>1</v>
      </c>
      <c r="H14" s="6">
        <f t="shared" si="4"/>
        <v>0</v>
      </c>
      <c r="I14" s="6">
        <f t="shared" si="5"/>
        <v>0</v>
      </c>
      <c r="J14" s="6">
        <f t="shared" si="6"/>
        <v>0</v>
      </c>
      <c r="K14" s="6">
        <f t="shared" si="6"/>
        <v>0</v>
      </c>
      <c r="L14" s="6">
        <f t="shared" si="6"/>
        <v>0</v>
      </c>
      <c r="M14" s="6">
        <f t="shared" si="6"/>
        <v>0</v>
      </c>
      <c r="N14" s="6">
        <f t="shared" si="6"/>
        <v>0</v>
      </c>
      <c r="O14" s="6">
        <f t="shared" si="6"/>
        <v>0</v>
      </c>
      <c r="P14" s="6">
        <f t="shared" si="6"/>
        <v>1</v>
      </c>
      <c r="Q14" s="6">
        <f t="shared" si="7"/>
        <v>0</v>
      </c>
      <c r="R14" s="6">
        <f t="shared" si="7"/>
        <v>0</v>
      </c>
      <c r="S14" s="6">
        <f t="shared" si="7"/>
        <v>1</v>
      </c>
      <c r="T14" s="6">
        <f t="shared" si="7"/>
        <v>0</v>
      </c>
      <c r="U14" s="6">
        <f t="shared" si="7"/>
        <v>0</v>
      </c>
      <c r="W14" s="25" t="s">
        <v>82</v>
      </c>
      <c r="X14" s="25">
        <v>16</v>
      </c>
      <c r="Y14" s="25">
        <v>1760611819.7154932</v>
      </c>
      <c r="Z14" s="25">
        <v>110038238.73221833</v>
      </c>
      <c r="AA14" s="25">
        <v>2.7291606036184382</v>
      </c>
      <c r="AB14" s="25">
        <v>1.5955589602396976E-3</v>
      </c>
      <c r="AC14"/>
      <c r="AD14"/>
      <c r="AE14"/>
    </row>
    <row r="15" spans="1:31">
      <c r="A15" s="13">
        <v>11872</v>
      </c>
      <c r="B15" s="7">
        <f t="shared" ca="1" si="1"/>
        <v>11</v>
      </c>
      <c r="C15" s="6">
        <v>18</v>
      </c>
      <c r="D15" s="6" t="s">
        <v>49</v>
      </c>
      <c r="E15" s="6" t="s">
        <v>39</v>
      </c>
      <c r="F15" s="6">
        <f t="shared" si="2"/>
        <v>0</v>
      </c>
      <c r="G15" s="6">
        <f t="shared" si="3"/>
        <v>0</v>
      </c>
      <c r="H15" s="6">
        <f t="shared" si="4"/>
        <v>1</v>
      </c>
      <c r="I15" s="6">
        <f t="shared" si="5"/>
        <v>0</v>
      </c>
      <c r="J15" s="6">
        <f t="shared" si="6"/>
        <v>0</v>
      </c>
      <c r="K15" s="6">
        <f t="shared" si="6"/>
        <v>0</v>
      </c>
      <c r="L15" s="6">
        <f t="shared" si="6"/>
        <v>0</v>
      </c>
      <c r="M15" s="6">
        <f t="shared" si="6"/>
        <v>0</v>
      </c>
      <c r="N15" s="6">
        <f t="shared" si="6"/>
        <v>1</v>
      </c>
      <c r="O15" s="6">
        <f t="shared" si="6"/>
        <v>0</v>
      </c>
      <c r="P15" s="6">
        <f t="shared" si="6"/>
        <v>0</v>
      </c>
      <c r="Q15" s="6">
        <f t="shared" si="7"/>
        <v>0</v>
      </c>
      <c r="R15" s="6">
        <f t="shared" si="7"/>
        <v>0</v>
      </c>
      <c r="S15" s="6">
        <f t="shared" si="7"/>
        <v>1</v>
      </c>
      <c r="T15" s="6">
        <f t="shared" si="7"/>
        <v>0</v>
      </c>
      <c r="U15" s="6">
        <f t="shared" si="7"/>
        <v>0</v>
      </c>
      <c r="W15" s="25" t="s">
        <v>88</v>
      </c>
      <c r="X15" s="25">
        <v>85</v>
      </c>
      <c r="Y15" s="25">
        <v>4218034164.8299618</v>
      </c>
      <c r="Z15" s="25">
        <v>49623931.350940727</v>
      </c>
      <c r="AA15" s="25"/>
      <c r="AB15" s="25"/>
      <c r="AC15"/>
      <c r="AD15"/>
      <c r="AE15"/>
    </row>
    <row r="16" spans="1:31" ht="14.25" thickBot="1">
      <c r="A16" s="13">
        <v>9671</v>
      </c>
      <c r="B16" s="7">
        <f t="shared" ca="1" si="1"/>
        <v>10</v>
      </c>
      <c r="C16" s="6">
        <v>15</v>
      </c>
      <c r="D16" s="6" t="s">
        <v>51</v>
      </c>
      <c r="E16" s="6" t="s">
        <v>60</v>
      </c>
      <c r="F16" s="6">
        <f t="shared" si="2"/>
        <v>0</v>
      </c>
      <c r="G16" s="6">
        <f t="shared" si="3"/>
        <v>1</v>
      </c>
      <c r="H16" s="6">
        <f t="shared" si="4"/>
        <v>0</v>
      </c>
      <c r="I16" s="6">
        <f t="shared" si="5"/>
        <v>0</v>
      </c>
      <c r="J16" s="6">
        <f t="shared" si="6"/>
        <v>0</v>
      </c>
      <c r="K16" s="6">
        <f t="shared" si="6"/>
        <v>0</v>
      </c>
      <c r="L16" s="6">
        <f t="shared" si="6"/>
        <v>0</v>
      </c>
      <c r="M16" s="6">
        <f t="shared" si="6"/>
        <v>0</v>
      </c>
      <c r="N16" s="6">
        <f t="shared" si="6"/>
        <v>0</v>
      </c>
      <c r="O16" s="6">
        <f t="shared" si="6"/>
        <v>1</v>
      </c>
      <c r="P16" s="6">
        <f t="shared" si="6"/>
        <v>0</v>
      </c>
      <c r="Q16" s="6">
        <f t="shared" si="7"/>
        <v>0</v>
      </c>
      <c r="R16" s="6">
        <f t="shared" si="7"/>
        <v>0</v>
      </c>
      <c r="S16" s="6">
        <f t="shared" si="7"/>
        <v>0</v>
      </c>
      <c r="T16" s="6">
        <f t="shared" si="7"/>
        <v>0</v>
      </c>
      <c r="U16" s="6">
        <f t="shared" si="7"/>
        <v>1</v>
      </c>
      <c r="W16" s="26" t="s">
        <v>190</v>
      </c>
      <c r="X16" s="26">
        <v>101</v>
      </c>
      <c r="Y16" s="26">
        <v>5978645984.545455</v>
      </c>
      <c r="Z16" s="26"/>
      <c r="AA16" s="26"/>
      <c r="AB16" s="26"/>
      <c r="AC16"/>
      <c r="AD16"/>
      <c r="AE16"/>
    </row>
    <row r="17" spans="1:31" ht="14.25" thickBot="1">
      <c r="A17" s="13">
        <v>17818</v>
      </c>
      <c r="B17" s="7">
        <f t="shared" ca="1" si="1"/>
        <v>4</v>
      </c>
      <c r="C17" s="6">
        <v>11</v>
      </c>
      <c r="D17" s="6" t="s">
        <v>53</v>
      </c>
      <c r="E17" s="6" t="s">
        <v>58</v>
      </c>
      <c r="F17" s="6">
        <f t="shared" si="2"/>
        <v>1</v>
      </c>
      <c r="G17" s="6">
        <f t="shared" si="3"/>
        <v>0</v>
      </c>
      <c r="H17" s="6">
        <f t="shared" si="4"/>
        <v>0</v>
      </c>
      <c r="I17" s="6">
        <f t="shared" si="5"/>
        <v>0</v>
      </c>
      <c r="J17" s="6">
        <f t="shared" si="6"/>
        <v>0</v>
      </c>
      <c r="K17" s="6">
        <f t="shared" si="6"/>
        <v>0</v>
      </c>
      <c r="L17" s="6">
        <f t="shared" si="6"/>
        <v>0</v>
      </c>
      <c r="M17" s="6">
        <f t="shared" si="6"/>
        <v>0</v>
      </c>
      <c r="N17" s="6">
        <f t="shared" si="6"/>
        <v>0</v>
      </c>
      <c r="O17" s="6">
        <f t="shared" si="6"/>
        <v>0</v>
      </c>
      <c r="P17" s="6">
        <f t="shared" si="6"/>
        <v>1</v>
      </c>
      <c r="Q17" s="6">
        <f t="shared" si="7"/>
        <v>0</v>
      </c>
      <c r="R17" s="6">
        <f t="shared" si="7"/>
        <v>0</v>
      </c>
      <c r="S17" s="6">
        <f t="shared" si="7"/>
        <v>0</v>
      </c>
      <c r="T17" s="6">
        <f t="shared" si="7"/>
        <v>1</v>
      </c>
      <c r="U17" s="6">
        <f t="shared" si="7"/>
        <v>0</v>
      </c>
      <c r="W17"/>
      <c r="X17"/>
      <c r="Y17"/>
      <c r="Z17"/>
      <c r="AA17"/>
      <c r="AB17"/>
      <c r="AC17"/>
      <c r="AD17"/>
      <c r="AE17"/>
    </row>
    <row r="18" spans="1:31">
      <c r="A18" s="13">
        <v>14381</v>
      </c>
      <c r="B18" s="7">
        <f t="shared" ca="1" si="1"/>
        <v>9</v>
      </c>
      <c r="C18" s="6">
        <v>20</v>
      </c>
      <c r="D18" s="6" t="s">
        <v>51</v>
      </c>
      <c r="E18" s="6" t="s">
        <v>39</v>
      </c>
      <c r="F18" s="6">
        <f t="shared" si="2"/>
        <v>0</v>
      </c>
      <c r="G18" s="6">
        <f t="shared" si="3"/>
        <v>0</v>
      </c>
      <c r="H18" s="6">
        <f t="shared" si="4"/>
        <v>0</v>
      </c>
      <c r="I18" s="6">
        <f t="shared" si="5"/>
        <v>1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1</v>
      </c>
      <c r="P18" s="6">
        <f t="shared" si="6"/>
        <v>0</v>
      </c>
      <c r="Q18" s="6">
        <f t="shared" si="7"/>
        <v>0</v>
      </c>
      <c r="R18" s="6">
        <f t="shared" si="7"/>
        <v>0</v>
      </c>
      <c r="S18" s="6">
        <f t="shared" si="7"/>
        <v>1</v>
      </c>
      <c r="T18" s="6">
        <f t="shared" si="7"/>
        <v>0</v>
      </c>
      <c r="U18" s="6">
        <f t="shared" si="7"/>
        <v>0</v>
      </c>
      <c r="W18" s="27"/>
      <c r="X18" s="27" t="s">
        <v>195</v>
      </c>
      <c r="Y18" s="27" t="s">
        <v>187</v>
      </c>
      <c r="Z18" s="27" t="s">
        <v>196</v>
      </c>
      <c r="AA18" s="27" t="s">
        <v>197</v>
      </c>
      <c r="AB18" s="27" t="s">
        <v>198</v>
      </c>
      <c r="AC18" s="27" t="s">
        <v>199</v>
      </c>
      <c r="AD18" s="27" t="s">
        <v>200</v>
      </c>
      <c r="AE18" s="27" t="s">
        <v>201</v>
      </c>
    </row>
    <row r="19" spans="1:31">
      <c r="A19" s="13">
        <v>30377</v>
      </c>
      <c r="B19" s="7">
        <f t="shared" ca="1" si="1"/>
        <v>6</v>
      </c>
      <c r="C19" s="6">
        <v>12</v>
      </c>
      <c r="D19" s="6" t="s">
        <v>51</v>
      </c>
      <c r="E19" s="6" t="s">
        <v>37</v>
      </c>
      <c r="F19" s="6">
        <f t="shared" si="2"/>
        <v>1</v>
      </c>
      <c r="G19" s="6">
        <f t="shared" si="3"/>
        <v>0</v>
      </c>
      <c r="H19" s="6">
        <f t="shared" si="4"/>
        <v>0</v>
      </c>
      <c r="I19" s="6">
        <f t="shared" si="5"/>
        <v>0</v>
      </c>
      <c r="J19" s="6">
        <f t="shared" si="6"/>
        <v>0</v>
      </c>
      <c r="K19" s="6">
        <f t="shared" si="6"/>
        <v>0</v>
      </c>
      <c r="L19" s="6">
        <f t="shared" si="6"/>
        <v>0</v>
      </c>
      <c r="M19" s="6">
        <f t="shared" si="6"/>
        <v>0</v>
      </c>
      <c r="N19" s="6">
        <f t="shared" si="6"/>
        <v>0</v>
      </c>
      <c r="O19" s="6">
        <f t="shared" si="6"/>
        <v>1</v>
      </c>
      <c r="P19" s="6">
        <f t="shared" si="6"/>
        <v>0</v>
      </c>
      <c r="Q19" s="6">
        <f t="shared" si="7"/>
        <v>0</v>
      </c>
      <c r="R19" s="6">
        <f t="shared" si="7"/>
        <v>1</v>
      </c>
      <c r="S19" s="6">
        <f t="shared" si="7"/>
        <v>0</v>
      </c>
      <c r="T19" s="6">
        <f t="shared" si="7"/>
        <v>0</v>
      </c>
      <c r="U19" s="6">
        <f t="shared" si="7"/>
        <v>0</v>
      </c>
      <c r="W19" s="25" t="s">
        <v>83</v>
      </c>
      <c r="X19" s="25">
        <v>12088.527267155931</v>
      </c>
      <c r="Y19" s="25">
        <v>3187.1820197621996</v>
      </c>
      <c r="Z19" s="25">
        <v>3.7928575124359774</v>
      </c>
      <c r="AA19" s="25">
        <v>2.7794391699206627E-4</v>
      </c>
      <c r="AB19" s="25">
        <v>5751.5556663941879</v>
      </c>
      <c r="AC19" s="25">
        <v>18425.498867917675</v>
      </c>
      <c r="AD19" s="25">
        <v>5751.5556663941879</v>
      </c>
      <c r="AE19" s="25">
        <v>18425.498867917675</v>
      </c>
    </row>
    <row r="20" spans="1:31">
      <c r="A20" s="13">
        <v>21124</v>
      </c>
      <c r="B20" s="7">
        <f t="shared" ca="1" si="1"/>
        <v>7</v>
      </c>
      <c r="C20" s="6">
        <v>15</v>
      </c>
      <c r="D20" s="6" t="s">
        <v>45</v>
      </c>
      <c r="E20" s="6" t="s">
        <v>37</v>
      </c>
      <c r="F20" s="6">
        <f t="shared" si="2"/>
        <v>0</v>
      </c>
      <c r="G20" s="6">
        <f t="shared" si="3"/>
        <v>1</v>
      </c>
      <c r="H20" s="6">
        <f t="shared" si="4"/>
        <v>0</v>
      </c>
      <c r="I20" s="6">
        <f t="shared" si="5"/>
        <v>0</v>
      </c>
      <c r="J20" s="6">
        <f t="shared" si="6"/>
        <v>0</v>
      </c>
      <c r="K20" s="6">
        <f t="shared" si="6"/>
        <v>0</v>
      </c>
      <c r="L20" s="6">
        <f t="shared" si="6"/>
        <v>1</v>
      </c>
      <c r="M20" s="6">
        <f t="shared" si="6"/>
        <v>0</v>
      </c>
      <c r="N20" s="6">
        <f t="shared" si="6"/>
        <v>0</v>
      </c>
      <c r="O20" s="6">
        <f t="shared" si="6"/>
        <v>0</v>
      </c>
      <c r="P20" s="6">
        <f t="shared" si="6"/>
        <v>0</v>
      </c>
      <c r="Q20" s="6">
        <f t="shared" si="7"/>
        <v>0</v>
      </c>
      <c r="R20" s="6">
        <f t="shared" si="7"/>
        <v>1</v>
      </c>
      <c r="S20" s="6">
        <f t="shared" si="7"/>
        <v>0</v>
      </c>
      <c r="T20" s="6">
        <f t="shared" si="7"/>
        <v>0</v>
      </c>
      <c r="U20" s="6">
        <f t="shared" si="7"/>
        <v>0</v>
      </c>
      <c r="W20" s="25" t="s">
        <v>202</v>
      </c>
      <c r="X20" s="25">
        <v>0</v>
      </c>
      <c r="Y20" s="25">
        <v>0</v>
      </c>
      <c r="Z20" s="25">
        <v>65535</v>
      </c>
      <c r="AA20" s="25" t="e">
        <v>#NUM!</v>
      </c>
      <c r="AB20" s="25">
        <v>0</v>
      </c>
      <c r="AC20" s="25">
        <v>0</v>
      </c>
      <c r="AD20" s="25">
        <v>0</v>
      </c>
      <c r="AE20" s="25">
        <v>0</v>
      </c>
    </row>
    <row r="21" spans="1:31">
      <c r="A21" s="13">
        <v>21032</v>
      </c>
      <c r="B21" s="7">
        <f t="shared" ca="1" si="1"/>
        <v>5</v>
      </c>
      <c r="C21" s="6">
        <v>16</v>
      </c>
      <c r="D21" s="6" t="s">
        <v>42</v>
      </c>
      <c r="E21" s="6" t="s">
        <v>35</v>
      </c>
      <c r="F21" s="6">
        <f t="shared" si="2"/>
        <v>0</v>
      </c>
      <c r="G21" s="6">
        <f t="shared" si="3"/>
        <v>0</v>
      </c>
      <c r="H21" s="6">
        <f t="shared" si="4"/>
        <v>1</v>
      </c>
      <c r="I21" s="6">
        <f t="shared" si="5"/>
        <v>0</v>
      </c>
      <c r="J21" s="6">
        <f t="shared" si="6"/>
        <v>1</v>
      </c>
      <c r="K21" s="6">
        <f t="shared" si="6"/>
        <v>0</v>
      </c>
      <c r="L21" s="6">
        <f t="shared" si="6"/>
        <v>0</v>
      </c>
      <c r="M21" s="6">
        <f t="shared" si="6"/>
        <v>0</v>
      </c>
      <c r="N21" s="6">
        <f t="shared" si="6"/>
        <v>0</v>
      </c>
      <c r="O21" s="6">
        <f t="shared" si="6"/>
        <v>0</v>
      </c>
      <c r="P21" s="6">
        <f t="shared" si="6"/>
        <v>0</v>
      </c>
      <c r="Q21" s="6">
        <f t="shared" si="7"/>
        <v>1</v>
      </c>
      <c r="R21" s="6">
        <f t="shared" si="7"/>
        <v>0</v>
      </c>
      <c r="S21" s="6">
        <f t="shared" si="7"/>
        <v>0</v>
      </c>
      <c r="T21" s="6">
        <f t="shared" si="7"/>
        <v>0</v>
      </c>
      <c r="U21" s="6">
        <f t="shared" si="7"/>
        <v>0</v>
      </c>
      <c r="W21" s="25" t="s">
        <v>203</v>
      </c>
      <c r="X21" s="25">
        <v>471.25887993353831</v>
      </c>
      <c r="Y21" s="25">
        <v>2355.9337023573025</v>
      </c>
      <c r="Z21" s="25">
        <v>0.20003062032773061</v>
      </c>
      <c r="AA21" s="25">
        <v>0.8419344274474545</v>
      </c>
      <c r="AB21" s="25">
        <v>-4212.968400637531</v>
      </c>
      <c r="AC21" s="25">
        <v>5155.4861605046071</v>
      </c>
      <c r="AD21" s="25">
        <v>-4212.968400637531</v>
      </c>
      <c r="AE21" s="25">
        <v>5155.4861605046071</v>
      </c>
    </row>
    <row r="22" spans="1:31">
      <c r="A22" s="13">
        <v>28432</v>
      </c>
      <c r="B22" s="7">
        <f t="shared" ca="1" si="1"/>
        <v>4</v>
      </c>
      <c r="C22" s="6">
        <v>18</v>
      </c>
      <c r="D22" s="6" t="s">
        <v>42</v>
      </c>
      <c r="E22" s="6" t="s">
        <v>39</v>
      </c>
      <c r="F22" s="6">
        <f t="shared" si="2"/>
        <v>0</v>
      </c>
      <c r="G22" s="6">
        <f t="shared" si="3"/>
        <v>0</v>
      </c>
      <c r="H22" s="6">
        <f t="shared" si="4"/>
        <v>1</v>
      </c>
      <c r="I22" s="6">
        <f t="shared" si="5"/>
        <v>0</v>
      </c>
      <c r="J22" s="6">
        <f t="shared" si="6"/>
        <v>1</v>
      </c>
      <c r="K22" s="6">
        <f t="shared" si="6"/>
        <v>0</v>
      </c>
      <c r="L22" s="6">
        <f t="shared" si="6"/>
        <v>0</v>
      </c>
      <c r="M22" s="6">
        <f t="shared" si="6"/>
        <v>0</v>
      </c>
      <c r="N22" s="6">
        <f t="shared" si="6"/>
        <v>0</v>
      </c>
      <c r="O22" s="6">
        <f t="shared" si="6"/>
        <v>0</v>
      </c>
      <c r="P22" s="6">
        <f t="shared" si="6"/>
        <v>0</v>
      </c>
      <c r="Q22" s="6">
        <f t="shared" si="7"/>
        <v>0</v>
      </c>
      <c r="R22" s="6">
        <f t="shared" si="7"/>
        <v>0</v>
      </c>
      <c r="S22" s="6">
        <f t="shared" si="7"/>
        <v>1</v>
      </c>
      <c r="T22" s="6">
        <f t="shared" si="7"/>
        <v>0</v>
      </c>
      <c r="U22" s="6">
        <f t="shared" si="7"/>
        <v>0</v>
      </c>
      <c r="W22" s="25" t="s">
        <v>204</v>
      </c>
      <c r="X22" s="25">
        <v>-2083.7986382003774</v>
      </c>
      <c r="Y22" s="25">
        <v>2462.8190201270113</v>
      </c>
      <c r="Z22" s="25">
        <v>-0.84610303118940211</v>
      </c>
      <c r="AA22" s="25">
        <v>0.39987095997314881</v>
      </c>
      <c r="AB22" s="25">
        <v>-6980.5425617009187</v>
      </c>
      <c r="AC22" s="25">
        <v>2812.945285300164</v>
      </c>
      <c r="AD22" s="25">
        <v>-6980.5425617009187</v>
      </c>
      <c r="AE22" s="25">
        <v>2812.945285300164</v>
      </c>
    </row>
    <row r="23" spans="1:31">
      <c r="A23" s="13">
        <v>13495</v>
      </c>
      <c r="B23" s="7">
        <f t="shared" ca="1" si="1"/>
        <v>12</v>
      </c>
      <c r="C23" s="6">
        <v>16</v>
      </c>
      <c r="D23" s="6" t="s">
        <v>51</v>
      </c>
      <c r="E23" s="6" t="s">
        <v>58</v>
      </c>
      <c r="F23" s="6">
        <f t="shared" si="2"/>
        <v>0</v>
      </c>
      <c r="G23" s="6">
        <f t="shared" si="3"/>
        <v>0</v>
      </c>
      <c r="H23" s="6">
        <f t="shared" si="4"/>
        <v>1</v>
      </c>
      <c r="I23" s="6">
        <f t="shared" si="5"/>
        <v>0</v>
      </c>
      <c r="J23" s="6">
        <f t="shared" si="6"/>
        <v>0</v>
      </c>
      <c r="K23" s="6">
        <f t="shared" si="6"/>
        <v>0</v>
      </c>
      <c r="L23" s="6">
        <f t="shared" si="6"/>
        <v>0</v>
      </c>
      <c r="M23" s="6">
        <f t="shared" si="6"/>
        <v>0</v>
      </c>
      <c r="N23" s="6">
        <f t="shared" si="6"/>
        <v>0</v>
      </c>
      <c r="O23" s="6">
        <f t="shared" si="6"/>
        <v>1</v>
      </c>
      <c r="P23" s="6">
        <f t="shared" si="6"/>
        <v>0</v>
      </c>
      <c r="Q23" s="6">
        <f t="shared" si="7"/>
        <v>0</v>
      </c>
      <c r="R23" s="6">
        <f t="shared" si="7"/>
        <v>0</v>
      </c>
      <c r="S23" s="6">
        <f t="shared" si="7"/>
        <v>0</v>
      </c>
      <c r="T23" s="6">
        <f t="shared" si="7"/>
        <v>1</v>
      </c>
      <c r="U23" s="6">
        <f t="shared" si="7"/>
        <v>0</v>
      </c>
      <c r="W23" s="25" t="s">
        <v>205</v>
      </c>
      <c r="X23" s="25">
        <v>-3764.4702474498354</v>
      </c>
      <c r="Y23" s="25">
        <v>2305.7482787487284</v>
      </c>
      <c r="Z23" s="25">
        <v>-1.6326458018620831</v>
      </c>
      <c r="AA23" s="25">
        <v>0.10624279081019183</v>
      </c>
      <c r="AB23" s="25">
        <v>-8348.9154627959433</v>
      </c>
      <c r="AC23" s="25">
        <v>819.97496789627348</v>
      </c>
      <c r="AD23" s="25">
        <v>-8348.9154627959433</v>
      </c>
      <c r="AE23" s="25">
        <v>819.97496789627348</v>
      </c>
    </row>
    <row r="24" spans="1:31">
      <c r="A24" s="13">
        <v>9088</v>
      </c>
      <c r="B24" s="7">
        <f t="shared" ca="1" si="1"/>
        <v>3</v>
      </c>
      <c r="C24" s="6">
        <v>21</v>
      </c>
      <c r="D24" s="6" t="s">
        <v>45</v>
      </c>
      <c r="E24" s="6" t="s">
        <v>58</v>
      </c>
      <c r="F24" s="6">
        <f t="shared" si="2"/>
        <v>0</v>
      </c>
      <c r="G24" s="6">
        <f t="shared" si="3"/>
        <v>0</v>
      </c>
      <c r="H24" s="6">
        <f t="shared" si="4"/>
        <v>0</v>
      </c>
      <c r="I24" s="6">
        <f t="shared" si="5"/>
        <v>1</v>
      </c>
      <c r="J24" s="6">
        <f t="shared" si="6"/>
        <v>0</v>
      </c>
      <c r="K24" s="6">
        <f t="shared" si="6"/>
        <v>0</v>
      </c>
      <c r="L24" s="6">
        <f t="shared" si="6"/>
        <v>1</v>
      </c>
      <c r="M24" s="6">
        <f t="shared" si="6"/>
        <v>0</v>
      </c>
      <c r="N24" s="6">
        <f t="shared" si="6"/>
        <v>0</v>
      </c>
      <c r="O24" s="6">
        <f t="shared" si="6"/>
        <v>0</v>
      </c>
      <c r="P24" s="6">
        <f t="shared" si="6"/>
        <v>0</v>
      </c>
      <c r="Q24" s="6">
        <f t="shared" si="7"/>
        <v>0</v>
      </c>
      <c r="R24" s="6">
        <f t="shared" si="7"/>
        <v>0</v>
      </c>
      <c r="S24" s="6">
        <f t="shared" si="7"/>
        <v>0</v>
      </c>
      <c r="T24" s="6">
        <f t="shared" si="7"/>
        <v>1</v>
      </c>
      <c r="U24" s="6">
        <f t="shared" si="7"/>
        <v>0</v>
      </c>
      <c r="W24" s="25" t="s">
        <v>208</v>
      </c>
      <c r="X24" s="25">
        <v>2137.6783075334001</v>
      </c>
      <c r="Y24" s="25">
        <v>2796.6117033350301</v>
      </c>
      <c r="Z24" s="25">
        <v>0.76438152103281432</v>
      </c>
      <c r="AA24" s="25">
        <v>0.44675674577022217</v>
      </c>
      <c r="AB24" s="25">
        <v>-3422.7348827098981</v>
      </c>
      <c r="AC24" s="25">
        <v>7698.0914977766988</v>
      </c>
      <c r="AD24" s="25">
        <v>-3422.7348827098981</v>
      </c>
      <c r="AE24" s="25">
        <v>7698.0914977766988</v>
      </c>
    </row>
    <row r="25" spans="1:31">
      <c r="A25" s="13">
        <v>13058</v>
      </c>
      <c r="B25" s="7">
        <f t="shared" ca="1" si="1"/>
        <v>7</v>
      </c>
      <c r="C25" s="6">
        <v>22</v>
      </c>
      <c r="D25" s="6" t="s">
        <v>51</v>
      </c>
      <c r="E25" s="6" t="s">
        <v>58</v>
      </c>
      <c r="F25" s="6">
        <f t="shared" si="2"/>
        <v>0</v>
      </c>
      <c r="G25" s="6">
        <f t="shared" si="3"/>
        <v>0</v>
      </c>
      <c r="H25" s="6">
        <f t="shared" si="4"/>
        <v>0</v>
      </c>
      <c r="I25" s="6">
        <f t="shared" si="5"/>
        <v>1</v>
      </c>
      <c r="J25" s="6">
        <f t="shared" si="6"/>
        <v>0</v>
      </c>
      <c r="K25" s="6">
        <f t="shared" si="6"/>
        <v>0</v>
      </c>
      <c r="L25" s="6">
        <f t="shared" si="6"/>
        <v>0</v>
      </c>
      <c r="M25" s="6">
        <f t="shared" si="6"/>
        <v>0</v>
      </c>
      <c r="N25" s="6">
        <f t="shared" si="6"/>
        <v>0</v>
      </c>
      <c r="O25" s="6">
        <f t="shared" si="6"/>
        <v>1</v>
      </c>
      <c r="P25" s="6">
        <f t="shared" si="6"/>
        <v>0</v>
      </c>
      <c r="Q25" s="6">
        <f t="shared" si="7"/>
        <v>0</v>
      </c>
      <c r="R25" s="6">
        <f t="shared" si="7"/>
        <v>0</v>
      </c>
      <c r="S25" s="6">
        <f t="shared" si="7"/>
        <v>0</v>
      </c>
      <c r="T25" s="6">
        <f t="shared" si="7"/>
        <v>1</v>
      </c>
      <c r="U25" s="6">
        <f t="shared" si="7"/>
        <v>0</v>
      </c>
      <c r="W25" s="25" t="s">
        <v>209</v>
      </c>
      <c r="X25" s="25">
        <v>0</v>
      </c>
      <c r="Y25" s="25">
        <v>0</v>
      </c>
      <c r="Z25" s="25">
        <v>65535</v>
      </c>
      <c r="AA25" s="25" t="e">
        <v>#NUM!</v>
      </c>
      <c r="AB25" s="25">
        <v>0</v>
      </c>
      <c r="AC25" s="25">
        <v>0</v>
      </c>
      <c r="AD25" s="25">
        <v>0</v>
      </c>
      <c r="AE25" s="25">
        <v>0</v>
      </c>
    </row>
    <row r="26" spans="1:31">
      <c r="A26" s="13">
        <v>33354</v>
      </c>
      <c r="B26" s="7">
        <f t="shared" ca="1" si="1"/>
        <v>6</v>
      </c>
      <c r="C26" s="6">
        <v>13</v>
      </c>
      <c r="D26" s="6" t="s">
        <v>45</v>
      </c>
      <c r="E26" s="6" t="s">
        <v>39</v>
      </c>
      <c r="F26" s="6">
        <f t="shared" si="2"/>
        <v>0</v>
      </c>
      <c r="G26" s="6">
        <f t="shared" si="3"/>
        <v>1</v>
      </c>
      <c r="H26" s="6">
        <f t="shared" si="4"/>
        <v>0</v>
      </c>
      <c r="I26" s="6">
        <f t="shared" si="5"/>
        <v>0</v>
      </c>
      <c r="J26" s="6">
        <f t="shared" si="6"/>
        <v>0</v>
      </c>
      <c r="K26" s="6">
        <f t="shared" si="6"/>
        <v>0</v>
      </c>
      <c r="L26" s="6">
        <f t="shared" si="6"/>
        <v>1</v>
      </c>
      <c r="M26" s="6">
        <f t="shared" si="6"/>
        <v>0</v>
      </c>
      <c r="N26" s="6">
        <f t="shared" si="6"/>
        <v>0</v>
      </c>
      <c r="O26" s="6">
        <f t="shared" si="6"/>
        <v>0</v>
      </c>
      <c r="P26" s="6">
        <f t="shared" si="6"/>
        <v>0</v>
      </c>
      <c r="Q26" s="6">
        <f t="shared" si="7"/>
        <v>0</v>
      </c>
      <c r="R26" s="6">
        <f t="shared" si="7"/>
        <v>0</v>
      </c>
      <c r="S26" s="6">
        <f t="shared" si="7"/>
        <v>1</v>
      </c>
      <c r="T26" s="6">
        <f t="shared" si="7"/>
        <v>0</v>
      </c>
      <c r="U26" s="6">
        <f t="shared" si="7"/>
        <v>0</v>
      </c>
      <c r="W26" s="25" t="s">
        <v>210</v>
      </c>
      <c r="X26" s="25">
        <v>-481.85131785117341</v>
      </c>
      <c r="Y26" s="25">
        <v>2941.1966933639815</v>
      </c>
      <c r="Z26" s="25">
        <v>-0.16382832162783983</v>
      </c>
      <c r="AA26" s="25">
        <v>0.87025521891507163</v>
      </c>
      <c r="AB26" s="25">
        <v>-6329.7381980277014</v>
      </c>
      <c r="AC26" s="25">
        <v>5366.0355623253554</v>
      </c>
      <c r="AD26" s="25">
        <v>-6329.7381980277014</v>
      </c>
      <c r="AE26" s="25">
        <v>5366.0355623253554</v>
      </c>
    </row>
    <row r="27" spans="1:31">
      <c r="A27" s="13">
        <v>26545</v>
      </c>
      <c r="B27" s="7">
        <f t="shared" ca="1" si="1"/>
        <v>5</v>
      </c>
      <c r="C27" s="6">
        <v>13</v>
      </c>
      <c r="D27" s="6" t="s">
        <v>47</v>
      </c>
      <c r="E27" s="6" t="s">
        <v>39</v>
      </c>
      <c r="F27" s="6">
        <f t="shared" si="2"/>
        <v>0</v>
      </c>
      <c r="G27" s="6">
        <f t="shared" si="3"/>
        <v>1</v>
      </c>
      <c r="H27" s="6">
        <f t="shared" si="4"/>
        <v>0</v>
      </c>
      <c r="I27" s="6">
        <f t="shared" si="5"/>
        <v>0</v>
      </c>
      <c r="J27" s="6">
        <f t="shared" si="6"/>
        <v>0</v>
      </c>
      <c r="K27" s="6">
        <f t="shared" si="6"/>
        <v>0</v>
      </c>
      <c r="L27" s="6">
        <f t="shared" si="6"/>
        <v>0</v>
      </c>
      <c r="M27" s="6">
        <f t="shared" si="6"/>
        <v>1</v>
      </c>
      <c r="N27" s="6">
        <f t="shared" si="6"/>
        <v>0</v>
      </c>
      <c r="O27" s="6">
        <f t="shared" si="6"/>
        <v>0</v>
      </c>
      <c r="P27" s="6">
        <f t="shared" si="6"/>
        <v>0</v>
      </c>
      <c r="Q27" s="6">
        <f t="shared" si="7"/>
        <v>0</v>
      </c>
      <c r="R27" s="6">
        <f t="shared" si="7"/>
        <v>0</v>
      </c>
      <c r="S27" s="6">
        <f t="shared" si="7"/>
        <v>1</v>
      </c>
      <c r="T27" s="6">
        <f t="shared" si="7"/>
        <v>0</v>
      </c>
      <c r="U27" s="6">
        <f t="shared" si="7"/>
        <v>0</v>
      </c>
      <c r="W27" s="25" t="s">
        <v>211</v>
      </c>
      <c r="X27" s="25">
        <v>290.24816701375943</v>
      </c>
      <c r="Y27" s="25">
        <v>2786.0146275822435</v>
      </c>
      <c r="Z27" s="25">
        <v>0.10418041748246035</v>
      </c>
      <c r="AA27" s="25">
        <v>0.91727160276370168</v>
      </c>
      <c r="AB27" s="25">
        <v>-5249.0951980108521</v>
      </c>
      <c r="AC27" s="25">
        <v>5829.591532038371</v>
      </c>
      <c r="AD27" s="25">
        <v>-5249.0951980108521</v>
      </c>
      <c r="AE27" s="25">
        <v>5829.591532038371</v>
      </c>
    </row>
    <row r="28" spans="1:31">
      <c r="A28" s="13">
        <v>10693</v>
      </c>
      <c r="B28" s="7">
        <f t="shared" ca="1" si="1"/>
        <v>7</v>
      </c>
      <c r="C28" s="6">
        <v>20</v>
      </c>
      <c r="D28" s="6" t="s">
        <v>49</v>
      </c>
      <c r="E28" s="6" t="s">
        <v>58</v>
      </c>
      <c r="F28" s="6">
        <f t="shared" si="2"/>
        <v>0</v>
      </c>
      <c r="G28" s="6">
        <f t="shared" si="3"/>
        <v>0</v>
      </c>
      <c r="H28" s="6">
        <f t="shared" si="4"/>
        <v>0</v>
      </c>
      <c r="I28" s="6">
        <f t="shared" si="5"/>
        <v>1</v>
      </c>
      <c r="J28" s="6">
        <f t="shared" si="6"/>
        <v>0</v>
      </c>
      <c r="K28" s="6">
        <f t="shared" si="6"/>
        <v>0</v>
      </c>
      <c r="L28" s="6">
        <f t="shared" si="6"/>
        <v>0</v>
      </c>
      <c r="M28" s="6">
        <f t="shared" si="6"/>
        <v>0</v>
      </c>
      <c r="N28" s="6">
        <f t="shared" si="6"/>
        <v>1</v>
      </c>
      <c r="O28" s="6">
        <f t="shared" si="6"/>
        <v>0</v>
      </c>
      <c r="P28" s="6">
        <f t="shared" si="6"/>
        <v>0</v>
      </c>
      <c r="Q28" s="6">
        <f t="shared" si="7"/>
        <v>0</v>
      </c>
      <c r="R28" s="6">
        <f t="shared" si="7"/>
        <v>0</v>
      </c>
      <c r="S28" s="6">
        <f t="shared" si="7"/>
        <v>0</v>
      </c>
      <c r="T28" s="6">
        <f t="shared" si="7"/>
        <v>1</v>
      </c>
      <c r="U28" s="6">
        <f t="shared" si="7"/>
        <v>0</v>
      </c>
      <c r="W28" s="25" t="s">
        <v>217</v>
      </c>
      <c r="X28" s="25">
        <v>1552.1636679673018</v>
      </c>
      <c r="Y28" s="25">
        <v>2800.0158667896621</v>
      </c>
      <c r="Z28" s="25">
        <v>0.55434102584101563</v>
      </c>
      <c r="AA28" s="25">
        <v>0.58080108206138514</v>
      </c>
      <c r="AB28" s="25">
        <v>-4015.017911091757</v>
      </c>
      <c r="AC28" s="25">
        <v>7119.345247026361</v>
      </c>
      <c r="AD28" s="25">
        <v>-4015.017911091757</v>
      </c>
      <c r="AE28" s="25">
        <v>7119.345247026361</v>
      </c>
    </row>
    <row r="29" spans="1:31">
      <c r="A29" s="13">
        <v>24595</v>
      </c>
      <c r="B29" s="7">
        <f t="shared" ca="1" si="1"/>
        <v>13</v>
      </c>
      <c r="C29" s="6">
        <v>16</v>
      </c>
      <c r="D29" s="6" t="s">
        <v>18</v>
      </c>
      <c r="E29" s="6" t="s">
        <v>37</v>
      </c>
      <c r="F29" s="6">
        <f t="shared" si="2"/>
        <v>0</v>
      </c>
      <c r="G29" s="6">
        <f t="shared" si="3"/>
        <v>0</v>
      </c>
      <c r="H29" s="6">
        <f t="shared" si="4"/>
        <v>1</v>
      </c>
      <c r="I29" s="6">
        <f t="shared" si="5"/>
        <v>0</v>
      </c>
      <c r="J29" s="6">
        <f t="shared" si="6"/>
        <v>0</v>
      </c>
      <c r="K29" s="6">
        <f t="shared" si="6"/>
        <v>1</v>
      </c>
      <c r="L29" s="6">
        <f t="shared" si="6"/>
        <v>0</v>
      </c>
      <c r="M29" s="6">
        <f t="shared" si="6"/>
        <v>0</v>
      </c>
      <c r="N29" s="6">
        <f t="shared" si="6"/>
        <v>0</v>
      </c>
      <c r="O29" s="6">
        <f t="shared" si="6"/>
        <v>0</v>
      </c>
      <c r="P29" s="6">
        <f t="shared" si="6"/>
        <v>0</v>
      </c>
      <c r="Q29" s="6">
        <f t="shared" si="7"/>
        <v>0</v>
      </c>
      <c r="R29" s="6">
        <f t="shared" si="7"/>
        <v>1</v>
      </c>
      <c r="S29" s="6">
        <f t="shared" si="7"/>
        <v>0</v>
      </c>
      <c r="T29" s="6">
        <f t="shared" si="7"/>
        <v>0</v>
      </c>
      <c r="U29" s="6">
        <f t="shared" si="7"/>
        <v>0</v>
      </c>
      <c r="W29" s="25" t="s">
        <v>218</v>
      </c>
      <c r="X29" s="25">
        <v>-1162.4522959680287</v>
      </c>
      <c r="Y29" s="25">
        <v>2789.7082742135694</v>
      </c>
      <c r="Z29" s="25">
        <v>-0.41669313838764338</v>
      </c>
      <c r="AA29" s="25">
        <v>0.67795328680979083</v>
      </c>
      <c r="AB29" s="25">
        <v>-6709.1396199070759</v>
      </c>
      <c r="AC29" s="25">
        <v>4384.2350279710181</v>
      </c>
      <c r="AD29" s="25">
        <v>-6709.1396199070759</v>
      </c>
      <c r="AE29" s="25">
        <v>4384.2350279710181</v>
      </c>
    </row>
    <row r="30" spans="1:31">
      <c r="A30" s="13">
        <v>25353</v>
      </c>
      <c r="B30" s="7">
        <f t="shared" ca="1" si="1"/>
        <v>6</v>
      </c>
      <c r="C30" s="6">
        <v>18</v>
      </c>
      <c r="D30" s="6" t="s">
        <v>51</v>
      </c>
      <c r="E30" s="6" t="s">
        <v>37</v>
      </c>
      <c r="F30" s="6">
        <f t="shared" si="2"/>
        <v>0</v>
      </c>
      <c r="G30" s="6">
        <f t="shared" si="3"/>
        <v>0</v>
      </c>
      <c r="H30" s="6">
        <f t="shared" si="4"/>
        <v>1</v>
      </c>
      <c r="I30" s="6">
        <f t="shared" si="5"/>
        <v>0</v>
      </c>
      <c r="J30" s="6">
        <f t="shared" si="6"/>
        <v>0</v>
      </c>
      <c r="K30" s="6">
        <f t="shared" si="6"/>
        <v>0</v>
      </c>
      <c r="L30" s="6">
        <f t="shared" si="6"/>
        <v>0</v>
      </c>
      <c r="M30" s="6">
        <f t="shared" si="6"/>
        <v>0</v>
      </c>
      <c r="N30" s="6">
        <f t="shared" si="6"/>
        <v>0</v>
      </c>
      <c r="O30" s="6">
        <f t="shared" si="6"/>
        <v>1</v>
      </c>
      <c r="P30" s="6">
        <f t="shared" si="6"/>
        <v>0</v>
      </c>
      <c r="Q30" s="6">
        <f t="shared" si="7"/>
        <v>0</v>
      </c>
      <c r="R30" s="6">
        <f t="shared" si="7"/>
        <v>1</v>
      </c>
      <c r="S30" s="6">
        <f t="shared" si="7"/>
        <v>0</v>
      </c>
      <c r="T30" s="6">
        <f t="shared" si="7"/>
        <v>0</v>
      </c>
      <c r="U30" s="6">
        <f t="shared" si="7"/>
        <v>0</v>
      </c>
      <c r="W30" s="25" t="s">
        <v>219</v>
      </c>
      <c r="X30" s="25">
        <v>-360.34851600097261</v>
      </c>
      <c r="Y30" s="25">
        <v>2746.4761564698097</v>
      </c>
      <c r="Z30" s="25">
        <v>-0.13120394843119537</v>
      </c>
      <c r="AA30" s="25">
        <v>0.89592401881398431</v>
      </c>
      <c r="AB30" s="25">
        <v>-5821.078809345503</v>
      </c>
      <c r="AC30" s="25">
        <v>5100.3817773435585</v>
      </c>
      <c r="AD30" s="25">
        <v>-5821.078809345503</v>
      </c>
      <c r="AE30" s="25">
        <v>5100.3817773435585</v>
      </c>
    </row>
    <row r="31" spans="1:31">
      <c r="A31" s="13">
        <v>16166</v>
      </c>
      <c r="B31" s="7">
        <f t="shared" ca="1" si="1"/>
        <v>14</v>
      </c>
      <c r="C31" s="6">
        <v>22</v>
      </c>
      <c r="D31" s="6" t="s">
        <v>47</v>
      </c>
      <c r="E31" s="6" t="s">
        <v>35</v>
      </c>
      <c r="F31" s="6">
        <f t="shared" si="2"/>
        <v>0</v>
      </c>
      <c r="G31" s="6">
        <f t="shared" si="3"/>
        <v>0</v>
      </c>
      <c r="H31" s="6">
        <f t="shared" si="4"/>
        <v>0</v>
      </c>
      <c r="I31" s="6">
        <f t="shared" si="5"/>
        <v>1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1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6">
        <f t="shared" si="7"/>
        <v>1</v>
      </c>
      <c r="R31" s="6">
        <f t="shared" si="7"/>
        <v>0</v>
      </c>
      <c r="S31" s="6">
        <f t="shared" si="7"/>
        <v>0</v>
      </c>
      <c r="T31" s="6">
        <f t="shared" si="7"/>
        <v>0</v>
      </c>
      <c r="U31" s="6">
        <f t="shared" si="7"/>
        <v>0</v>
      </c>
      <c r="W31" s="25" t="s">
        <v>220</v>
      </c>
      <c r="X31" s="25">
        <v>6069.4582301275223</v>
      </c>
      <c r="Y31" s="25">
        <v>2373.7910259451319</v>
      </c>
      <c r="Z31" s="25">
        <v>2.5568629099147215</v>
      </c>
      <c r="AA31" s="25">
        <v>1.2338142242960632E-2</v>
      </c>
      <c r="AB31" s="25">
        <v>1349.7258068504434</v>
      </c>
      <c r="AC31" s="25">
        <v>10789.190653404601</v>
      </c>
      <c r="AD31" s="25">
        <v>1349.7258068504434</v>
      </c>
      <c r="AE31" s="25">
        <v>10789.190653404601</v>
      </c>
    </row>
    <row r="32" spans="1:31">
      <c r="A32" s="13">
        <v>21736</v>
      </c>
      <c r="B32" s="7">
        <f t="shared" ca="1" si="1"/>
        <v>3</v>
      </c>
      <c r="C32" s="6">
        <v>17</v>
      </c>
      <c r="D32" s="6" t="s">
        <v>51</v>
      </c>
      <c r="E32" s="6" t="s">
        <v>39</v>
      </c>
      <c r="F32" s="6">
        <f t="shared" si="2"/>
        <v>0</v>
      </c>
      <c r="G32" s="6">
        <f t="shared" si="3"/>
        <v>0</v>
      </c>
      <c r="H32" s="6">
        <f t="shared" si="4"/>
        <v>1</v>
      </c>
      <c r="I32" s="6">
        <f t="shared" si="5"/>
        <v>0</v>
      </c>
      <c r="J32" s="6">
        <f t="shared" si="6"/>
        <v>0</v>
      </c>
      <c r="K32" s="6">
        <f t="shared" si="6"/>
        <v>0</v>
      </c>
      <c r="L32" s="6">
        <f t="shared" si="6"/>
        <v>0</v>
      </c>
      <c r="M32" s="6">
        <f t="shared" si="6"/>
        <v>0</v>
      </c>
      <c r="N32" s="6">
        <f t="shared" si="6"/>
        <v>0</v>
      </c>
      <c r="O32" s="6">
        <f t="shared" si="6"/>
        <v>1</v>
      </c>
      <c r="P32" s="6">
        <f t="shared" si="6"/>
        <v>0</v>
      </c>
      <c r="Q32" s="6">
        <f t="shared" si="7"/>
        <v>0</v>
      </c>
      <c r="R32" s="6">
        <f t="shared" si="7"/>
        <v>0</v>
      </c>
      <c r="S32" s="6">
        <f t="shared" si="7"/>
        <v>1</v>
      </c>
      <c r="T32" s="6">
        <f t="shared" si="7"/>
        <v>0</v>
      </c>
      <c r="U32" s="6">
        <f t="shared" si="7"/>
        <v>0</v>
      </c>
      <c r="W32" s="25" t="s">
        <v>221</v>
      </c>
      <c r="X32" s="25">
        <v>12123.409996816577</v>
      </c>
      <c r="Y32" s="25">
        <v>2534.3661680244522</v>
      </c>
      <c r="Z32" s="25">
        <v>4.7836063114221652</v>
      </c>
      <c r="AA32" s="25">
        <v>7.1708940825159732E-6</v>
      </c>
      <c r="AB32" s="25">
        <v>7084.4111780730555</v>
      </c>
      <c r="AC32" s="25">
        <v>17162.408815560098</v>
      </c>
      <c r="AD32" s="25">
        <v>7084.4111780730555</v>
      </c>
      <c r="AE32" s="25">
        <v>17162.408815560098</v>
      </c>
    </row>
    <row r="33" spans="1:31">
      <c r="A33" s="13">
        <v>9517</v>
      </c>
      <c r="B33" s="7">
        <f t="shared" ca="1" si="1"/>
        <v>9</v>
      </c>
      <c r="C33" s="6">
        <v>11</v>
      </c>
      <c r="D33" s="6" t="s">
        <v>49</v>
      </c>
      <c r="E33" s="6" t="s">
        <v>60</v>
      </c>
      <c r="F33" s="6">
        <f t="shared" si="2"/>
        <v>1</v>
      </c>
      <c r="G33" s="6">
        <f t="shared" si="3"/>
        <v>0</v>
      </c>
      <c r="H33" s="6">
        <f t="shared" si="4"/>
        <v>0</v>
      </c>
      <c r="I33" s="6">
        <f t="shared" si="5"/>
        <v>0</v>
      </c>
      <c r="J33" s="6">
        <f t="shared" si="6"/>
        <v>0</v>
      </c>
      <c r="K33" s="6">
        <f t="shared" si="6"/>
        <v>0</v>
      </c>
      <c r="L33" s="6">
        <f t="shared" si="6"/>
        <v>0</v>
      </c>
      <c r="M33" s="6">
        <f t="shared" si="6"/>
        <v>0</v>
      </c>
      <c r="N33" s="6">
        <f t="shared" si="6"/>
        <v>1</v>
      </c>
      <c r="O33" s="6">
        <f t="shared" si="6"/>
        <v>0</v>
      </c>
      <c r="P33" s="6">
        <f t="shared" si="6"/>
        <v>0</v>
      </c>
      <c r="Q33" s="6">
        <f t="shared" si="7"/>
        <v>0</v>
      </c>
      <c r="R33" s="6">
        <f t="shared" si="7"/>
        <v>0</v>
      </c>
      <c r="S33" s="6">
        <f t="shared" si="7"/>
        <v>0</v>
      </c>
      <c r="T33" s="6">
        <f t="shared" si="7"/>
        <v>0</v>
      </c>
      <c r="U33" s="6">
        <f t="shared" si="7"/>
        <v>1</v>
      </c>
      <c r="W33" s="25" t="s">
        <v>222</v>
      </c>
      <c r="X33" s="25">
        <v>10282.592882990464</v>
      </c>
      <c r="Y33" s="25">
        <v>2365.3085208777393</v>
      </c>
      <c r="Z33" s="25">
        <v>4.3472522895975994</v>
      </c>
      <c r="AA33" s="25">
        <v>3.8044226325417822E-5</v>
      </c>
      <c r="AB33" s="25">
        <v>5579.7259519827585</v>
      </c>
      <c r="AC33" s="25">
        <v>14985.45981399817</v>
      </c>
      <c r="AD33" s="25">
        <v>5579.7259519827585</v>
      </c>
      <c r="AE33" s="25">
        <v>14985.45981399817</v>
      </c>
    </row>
    <row r="34" spans="1:31">
      <c r="A34" s="13">
        <v>13419</v>
      </c>
      <c r="B34" s="7">
        <f t="shared" ca="1" si="1"/>
        <v>14</v>
      </c>
      <c r="C34" s="6">
        <v>19</v>
      </c>
      <c r="D34" s="6" t="s">
        <v>49</v>
      </c>
      <c r="E34" s="6" t="s">
        <v>58</v>
      </c>
      <c r="F34" s="6">
        <f t="shared" si="2"/>
        <v>0</v>
      </c>
      <c r="G34" s="6">
        <f t="shared" si="3"/>
        <v>0</v>
      </c>
      <c r="H34" s="6">
        <f t="shared" si="4"/>
        <v>0</v>
      </c>
      <c r="I34" s="6">
        <f t="shared" si="5"/>
        <v>1</v>
      </c>
      <c r="J34" s="6">
        <f t="shared" si="6"/>
        <v>0</v>
      </c>
      <c r="K34" s="6">
        <f t="shared" si="6"/>
        <v>0</v>
      </c>
      <c r="L34" s="6">
        <f t="shared" si="6"/>
        <v>0</v>
      </c>
      <c r="M34" s="6">
        <f t="shared" si="6"/>
        <v>0</v>
      </c>
      <c r="N34" s="6">
        <f t="shared" si="6"/>
        <v>1</v>
      </c>
      <c r="O34" s="6">
        <f t="shared" si="6"/>
        <v>0</v>
      </c>
      <c r="P34" s="6">
        <f t="shared" si="6"/>
        <v>0</v>
      </c>
      <c r="Q34" s="6">
        <f t="shared" si="7"/>
        <v>0</v>
      </c>
      <c r="R34" s="6">
        <f t="shared" si="7"/>
        <v>0</v>
      </c>
      <c r="S34" s="6">
        <f t="shared" si="7"/>
        <v>0</v>
      </c>
      <c r="T34" s="6">
        <f t="shared" si="7"/>
        <v>1</v>
      </c>
      <c r="U34" s="6">
        <f t="shared" si="7"/>
        <v>0</v>
      </c>
      <c r="W34" s="25" t="s">
        <v>223</v>
      </c>
      <c r="X34" s="25">
        <v>6553.1707789008196</v>
      </c>
      <c r="Y34" s="25">
        <v>2415.1310054666483</v>
      </c>
      <c r="Z34" s="25">
        <v>2.7133810812199086</v>
      </c>
      <c r="AA34" s="25">
        <v>8.0615466314181462E-3</v>
      </c>
      <c r="AB34" s="25">
        <v>1751.2434026591563</v>
      </c>
      <c r="AC34" s="25">
        <v>11355.098155142483</v>
      </c>
      <c r="AD34" s="25">
        <v>1751.2434026591563</v>
      </c>
      <c r="AE34" s="25">
        <v>11355.098155142483</v>
      </c>
    </row>
    <row r="35" spans="1:31" ht="14.25" thickBot="1">
      <c r="A35" s="13">
        <v>4561</v>
      </c>
      <c r="B35" s="7">
        <f t="shared" ca="1" si="1"/>
        <v>14</v>
      </c>
      <c r="C35" s="6">
        <v>19</v>
      </c>
      <c r="D35" s="6" t="s">
        <v>53</v>
      </c>
      <c r="E35" s="6" t="s">
        <v>60</v>
      </c>
      <c r="F35" s="6">
        <f t="shared" si="2"/>
        <v>0</v>
      </c>
      <c r="G35" s="6">
        <f t="shared" si="3"/>
        <v>0</v>
      </c>
      <c r="H35" s="6">
        <f t="shared" si="4"/>
        <v>0</v>
      </c>
      <c r="I35" s="6">
        <f t="shared" si="5"/>
        <v>1</v>
      </c>
      <c r="J35" s="6">
        <f t="shared" si="6"/>
        <v>0</v>
      </c>
      <c r="K35" s="6">
        <f t="shared" si="6"/>
        <v>0</v>
      </c>
      <c r="L35" s="6">
        <f t="shared" si="6"/>
        <v>0</v>
      </c>
      <c r="M35" s="6">
        <f t="shared" si="6"/>
        <v>0</v>
      </c>
      <c r="N35" s="6">
        <f t="shared" si="6"/>
        <v>0</v>
      </c>
      <c r="O35" s="6">
        <f t="shared" si="6"/>
        <v>0</v>
      </c>
      <c r="P35" s="6">
        <f t="shared" si="6"/>
        <v>1</v>
      </c>
      <c r="Q35" s="6">
        <f t="shared" si="7"/>
        <v>0</v>
      </c>
      <c r="R35" s="6">
        <f t="shared" si="7"/>
        <v>0</v>
      </c>
      <c r="S35" s="6">
        <f t="shared" si="7"/>
        <v>0</v>
      </c>
      <c r="T35" s="6">
        <f t="shared" si="7"/>
        <v>0</v>
      </c>
      <c r="U35" s="6">
        <f t="shared" si="7"/>
        <v>1</v>
      </c>
      <c r="W35" s="26" t="s">
        <v>224</v>
      </c>
      <c r="X35" s="26">
        <v>0</v>
      </c>
      <c r="Y35" s="26">
        <v>0</v>
      </c>
      <c r="Z35" s="26">
        <v>65535</v>
      </c>
      <c r="AA35" s="26" t="e">
        <v>#NUM!</v>
      </c>
      <c r="AB35" s="26">
        <v>0</v>
      </c>
      <c r="AC35" s="26">
        <v>0</v>
      </c>
      <c r="AD35" s="26">
        <v>0</v>
      </c>
      <c r="AE35" s="26">
        <v>0</v>
      </c>
    </row>
    <row r="36" spans="1:31">
      <c r="A36" s="13">
        <v>7842</v>
      </c>
      <c r="B36" s="7">
        <f t="shared" ca="1" si="1"/>
        <v>11</v>
      </c>
      <c r="C36" s="6">
        <v>16</v>
      </c>
      <c r="D36" s="6" t="s">
        <v>45</v>
      </c>
      <c r="E36" s="6" t="s">
        <v>58</v>
      </c>
      <c r="F36" s="6">
        <f t="shared" si="2"/>
        <v>0</v>
      </c>
      <c r="G36" s="6">
        <f t="shared" si="3"/>
        <v>0</v>
      </c>
      <c r="H36" s="6">
        <f t="shared" si="4"/>
        <v>1</v>
      </c>
      <c r="I36" s="6">
        <f t="shared" si="5"/>
        <v>0</v>
      </c>
      <c r="J36" s="6">
        <f t="shared" si="6"/>
        <v>0</v>
      </c>
      <c r="K36" s="6">
        <f t="shared" si="6"/>
        <v>0</v>
      </c>
      <c r="L36" s="6">
        <f t="shared" si="6"/>
        <v>1</v>
      </c>
      <c r="M36" s="6">
        <f t="shared" si="6"/>
        <v>0</v>
      </c>
      <c r="N36" s="6">
        <f t="shared" si="6"/>
        <v>0</v>
      </c>
      <c r="O36" s="6">
        <f t="shared" si="6"/>
        <v>0</v>
      </c>
      <c r="P36" s="6">
        <f t="shared" si="6"/>
        <v>0</v>
      </c>
      <c r="Q36" s="6">
        <f t="shared" si="7"/>
        <v>0</v>
      </c>
      <c r="R36" s="6">
        <f t="shared" si="7"/>
        <v>0</v>
      </c>
      <c r="S36" s="6">
        <f t="shared" si="7"/>
        <v>0</v>
      </c>
      <c r="T36" s="6">
        <f t="shared" si="7"/>
        <v>1</v>
      </c>
      <c r="U36" s="6">
        <f t="shared" si="7"/>
        <v>0</v>
      </c>
      <c r="W36"/>
      <c r="X36"/>
      <c r="Y36"/>
      <c r="Z36"/>
      <c r="AA36"/>
      <c r="AB36"/>
      <c r="AC36"/>
      <c r="AD36"/>
      <c r="AE36"/>
    </row>
    <row r="37" spans="1:31">
      <c r="A37" s="13">
        <v>19306</v>
      </c>
      <c r="B37" s="7">
        <f t="shared" ca="1" si="1"/>
        <v>3</v>
      </c>
      <c r="C37" s="6">
        <v>17</v>
      </c>
      <c r="D37" s="6" t="s">
        <v>49</v>
      </c>
      <c r="E37" s="6" t="s">
        <v>58</v>
      </c>
      <c r="F37" s="6">
        <f t="shared" si="2"/>
        <v>0</v>
      </c>
      <c r="G37" s="6">
        <f t="shared" si="3"/>
        <v>0</v>
      </c>
      <c r="H37" s="6">
        <f t="shared" si="4"/>
        <v>1</v>
      </c>
      <c r="I37" s="6">
        <f t="shared" si="5"/>
        <v>0</v>
      </c>
      <c r="J37" s="6">
        <f t="shared" si="6"/>
        <v>0</v>
      </c>
      <c r="K37" s="6">
        <f t="shared" si="6"/>
        <v>0</v>
      </c>
      <c r="L37" s="6">
        <f t="shared" si="6"/>
        <v>0</v>
      </c>
      <c r="M37" s="6">
        <f t="shared" si="6"/>
        <v>0</v>
      </c>
      <c r="N37" s="6">
        <f t="shared" si="6"/>
        <v>1</v>
      </c>
      <c r="O37" s="6">
        <f t="shared" si="6"/>
        <v>0</v>
      </c>
      <c r="P37" s="6">
        <f t="shared" si="6"/>
        <v>0</v>
      </c>
      <c r="Q37" s="6">
        <f t="shared" si="7"/>
        <v>0</v>
      </c>
      <c r="R37" s="6">
        <f t="shared" si="7"/>
        <v>0</v>
      </c>
      <c r="S37" s="6">
        <f t="shared" si="7"/>
        <v>0</v>
      </c>
      <c r="T37" s="6">
        <f t="shared" si="7"/>
        <v>1</v>
      </c>
      <c r="U37" s="6">
        <f t="shared" si="7"/>
        <v>0</v>
      </c>
      <c r="W37" s="32" t="s">
        <v>240</v>
      </c>
      <c r="X37" s="32" t="s">
        <v>239</v>
      </c>
      <c r="Y37" s="32" t="s">
        <v>241</v>
      </c>
      <c r="Z37" s="32" t="s">
        <v>242</v>
      </c>
      <c r="AA37" s="32" t="s">
        <v>43</v>
      </c>
      <c r="AB37" s="32" t="s">
        <v>44</v>
      </c>
      <c r="AC37" s="32" t="s">
        <v>46</v>
      </c>
      <c r="AD37" s="32" t="s">
        <v>48</v>
      </c>
      <c r="AE37"/>
    </row>
    <row r="38" spans="1:31">
      <c r="A38" s="13">
        <v>14167</v>
      </c>
      <c r="B38" s="7">
        <f t="shared" ca="1" si="1"/>
        <v>12</v>
      </c>
      <c r="C38" s="6">
        <v>14</v>
      </c>
      <c r="D38" s="6" t="s">
        <v>18</v>
      </c>
      <c r="E38" s="6" t="s">
        <v>58</v>
      </c>
      <c r="F38" s="6">
        <f t="shared" si="2"/>
        <v>0</v>
      </c>
      <c r="G38" s="6">
        <f t="shared" si="3"/>
        <v>1</v>
      </c>
      <c r="H38" s="6">
        <f t="shared" si="4"/>
        <v>0</v>
      </c>
      <c r="I38" s="6">
        <f t="shared" si="5"/>
        <v>0</v>
      </c>
      <c r="J38" s="6">
        <f t="shared" si="6"/>
        <v>0</v>
      </c>
      <c r="K38" s="6">
        <f t="shared" si="6"/>
        <v>1</v>
      </c>
      <c r="L38" s="6">
        <f t="shared" si="6"/>
        <v>0</v>
      </c>
      <c r="M38" s="6">
        <f t="shared" si="6"/>
        <v>0</v>
      </c>
      <c r="N38" s="6">
        <f t="shared" si="6"/>
        <v>0</v>
      </c>
      <c r="O38" s="6">
        <f t="shared" si="6"/>
        <v>0</v>
      </c>
      <c r="P38" s="6">
        <f t="shared" si="6"/>
        <v>0</v>
      </c>
      <c r="Q38" s="6">
        <f t="shared" si="7"/>
        <v>0</v>
      </c>
      <c r="R38" s="6">
        <f t="shared" si="7"/>
        <v>0</v>
      </c>
      <c r="S38" s="6">
        <f t="shared" si="7"/>
        <v>0</v>
      </c>
      <c r="T38" s="6">
        <f t="shared" si="7"/>
        <v>1</v>
      </c>
      <c r="U38" s="6">
        <f t="shared" si="7"/>
        <v>0</v>
      </c>
      <c r="W38" s="34">
        <v>0</v>
      </c>
      <c r="X38" s="34">
        <v>471.25887993353831</v>
      </c>
      <c r="Y38" s="34">
        <v>-2083.7986382003774</v>
      </c>
      <c r="Z38" s="34">
        <v>-3764.4702474498354</v>
      </c>
      <c r="AA38" s="34">
        <v>2137.6783075334001</v>
      </c>
      <c r="AB38" s="34">
        <v>0</v>
      </c>
      <c r="AC38" s="34">
        <v>-481.85131785117341</v>
      </c>
      <c r="AD38" s="34">
        <v>290.24816701375943</v>
      </c>
    </row>
    <row r="39" spans="1:31">
      <c r="A39" s="13">
        <v>16082</v>
      </c>
      <c r="B39" s="7">
        <f t="shared" ca="1" si="1"/>
        <v>3</v>
      </c>
      <c r="C39" s="6">
        <v>15</v>
      </c>
      <c r="D39" s="6" t="s">
        <v>45</v>
      </c>
      <c r="E39" s="6" t="s">
        <v>35</v>
      </c>
      <c r="F39" s="6">
        <f t="shared" si="2"/>
        <v>0</v>
      </c>
      <c r="G39" s="6">
        <f t="shared" si="3"/>
        <v>1</v>
      </c>
      <c r="H39" s="6">
        <f t="shared" si="4"/>
        <v>0</v>
      </c>
      <c r="I39" s="6">
        <f t="shared" si="5"/>
        <v>0</v>
      </c>
      <c r="J39" s="6">
        <f t="shared" si="6"/>
        <v>0</v>
      </c>
      <c r="K39" s="6">
        <f t="shared" si="6"/>
        <v>0</v>
      </c>
      <c r="L39" s="6">
        <f t="shared" si="6"/>
        <v>1</v>
      </c>
      <c r="M39" s="6">
        <f t="shared" si="6"/>
        <v>0</v>
      </c>
      <c r="N39" s="6">
        <f t="shared" si="6"/>
        <v>0</v>
      </c>
      <c r="O39" s="6">
        <f t="shared" si="6"/>
        <v>0</v>
      </c>
      <c r="P39" s="6">
        <f t="shared" si="6"/>
        <v>0</v>
      </c>
      <c r="Q39" s="6">
        <f t="shared" si="7"/>
        <v>1</v>
      </c>
      <c r="R39" s="6">
        <f t="shared" si="7"/>
        <v>0</v>
      </c>
      <c r="S39" s="6">
        <f t="shared" si="7"/>
        <v>0</v>
      </c>
      <c r="T39" s="6">
        <f t="shared" si="7"/>
        <v>0</v>
      </c>
      <c r="U39" s="6">
        <f t="shared" si="7"/>
        <v>0</v>
      </c>
      <c r="W39" s="33" t="s">
        <v>50</v>
      </c>
      <c r="X39" s="33" t="s">
        <v>52</v>
      </c>
      <c r="Y39" s="33" t="s">
        <v>54</v>
      </c>
      <c r="Z39" s="32" t="s">
        <v>36</v>
      </c>
      <c r="AA39" s="32" t="s">
        <v>38</v>
      </c>
      <c r="AB39" s="32" t="s">
        <v>40</v>
      </c>
      <c r="AC39" s="32" t="s">
        <v>59</v>
      </c>
      <c r="AD39" s="32" t="s">
        <v>61</v>
      </c>
    </row>
    <row r="40" spans="1:31">
      <c r="A40" s="13">
        <v>18231</v>
      </c>
      <c r="B40" s="7">
        <f t="shared" ca="1" si="1"/>
        <v>5</v>
      </c>
      <c r="C40" s="6">
        <v>18</v>
      </c>
      <c r="D40" s="6" t="s">
        <v>53</v>
      </c>
      <c r="E40" s="6" t="s">
        <v>58</v>
      </c>
      <c r="F40" s="6">
        <f t="shared" si="2"/>
        <v>0</v>
      </c>
      <c r="G40" s="6">
        <f t="shared" si="3"/>
        <v>0</v>
      </c>
      <c r="H40" s="6">
        <f t="shared" si="4"/>
        <v>1</v>
      </c>
      <c r="I40" s="6">
        <f t="shared" si="5"/>
        <v>0</v>
      </c>
      <c r="J40" s="6">
        <f t="shared" ref="J40:P71" si="8">IF($D40=J$6, 1, 0)</f>
        <v>0</v>
      </c>
      <c r="K40" s="6">
        <f t="shared" si="8"/>
        <v>0</v>
      </c>
      <c r="L40" s="6">
        <f t="shared" si="8"/>
        <v>0</v>
      </c>
      <c r="M40" s="6">
        <f t="shared" si="8"/>
        <v>0</v>
      </c>
      <c r="N40" s="6">
        <f t="shared" si="8"/>
        <v>0</v>
      </c>
      <c r="O40" s="6">
        <f t="shared" si="8"/>
        <v>0</v>
      </c>
      <c r="P40" s="6">
        <f t="shared" si="8"/>
        <v>1</v>
      </c>
      <c r="Q40" s="6">
        <f t="shared" ref="Q40:U71" si="9">IF($E40=Q$6, 1, 0)</f>
        <v>0</v>
      </c>
      <c r="R40" s="6">
        <f t="shared" si="9"/>
        <v>0</v>
      </c>
      <c r="S40" s="6">
        <f t="shared" si="9"/>
        <v>0</v>
      </c>
      <c r="T40" s="6">
        <f t="shared" si="9"/>
        <v>1</v>
      </c>
      <c r="U40" s="6">
        <f t="shared" si="9"/>
        <v>0</v>
      </c>
      <c r="W40" s="34">
        <v>1552.1636679673018</v>
      </c>
      <c r="X40" s="34">
        <v>-1162.4522959680287</v>
      </c>
      <c r="Y40" s="34">
        <v>-360.34851600097261</v>
      </c>
      <c r="Z40" s="34">
        <v>6069.4582301275223</v>
      </c>
      <c r="AA40" s="34">
        <v>12123.409996816577</v>
      </c>
      <c r="AB40" s="34">
        <v>10282.592882990464</v>
      </c>
      <c r="AC40" s="34">
        <v>6553.1707789008196</v>
      </c>
      <c r="AD40" s="34">
        <v>0</v>
      </c>
      <c r="AE40"/>
    </row>
    <row r="41" spans="1:31">
      <c r="A41" s="13">
        <v>7411</v>
      </c>
      <c r="B41" s="7">
        <f t="shared" ca="1" si="1"/>
        <v>11</v>
      </c>
      <c r="C41" s="6">
        <v>13</v>
      </c>
      <c r="D41" s="6" t="s">
        <v>53</v>
      </c>
      <c r="E41" s="6" t="s">
        <v>60</v>
      </c>
      <c r="F41" s="6">
        <f t="shared" si="2"/>
        <v>0</v>
      </c>
      <c r="G41" s="6">
        <f t="shared" si="3"/>
        <v>1</v>
      </c>
      <c r="H41" s="6">
        <f t="shared" si="4"/>
        <v>0</v>
      </c>
      <c r="I41" s="6">
        <f t="shared" si="5"/>
        <v>0</v>
      </c>
      <c r="J41" s="6">
        <f t="shared" si="8"/>
        <v>0</v>
      </c>
      <c r="K41" s="6">
        <f t="shared" si="8"/>
        <v>0</v>
      </c>
      <c r="L41" s="6">
        <f t="shared" si="8"/>
        <v>0</v>
      </c>
      <c r="M41" s="6">
        <f t="shared" si="8"/>
        <v>0</v>
      </c>
      <c r="N41" s="6">
        <f t="shared" si="8"/>
        <v>0</v>
      </c>
      <c r="O41" s="6">
        <f t="shared" si="8"/>
        <v>0</v>
      </c>
      <c r="P41" s="6">
        <f t="shared" si="8"/>
        <v>1</v>
      </c>
      <c r="Q41" s="6">
        <f t="shared" si="9"/>
        <v>0</v>
      </c>
      <c r="R41" s="6">
        <f t="shared" si="9"/>
        <v>0</v>
      </c>
      <c r="S41" s="6">
        <f t="shared" si="9"/>
        <v>0</v>
      </c>
      <c r="T41" s="6">
        <f t="shared" si="9"/>
        <v>0</v>
      </c>
      <c r="U41" s="6">
        <f t="shared" si="9"/>
        <v>1</v>
      </c>
    </row>
    <row r="42" spans="1:31">
      <c r="A42" s="13">
        <v>11630</v>
      </c>
      <c r="B42" s="7">
        <f t="shared" ca="1" si="1"/>
        <v>4</v>
      </c>
      <c r="C42" s="6">
        <v>20</v>
      </c>
      <c r="D42" s="6" t="s">
        <v>18</v>
      </c>
      <c r="E42" s="6" t="s">
        <v>58</v>
      </c>
      <c r="F42" s="6">
        <f t="shared" si="2"/>
        <v>0</v>
      </c>
      <c r="G42" s="6">
        <f t="shared" si="3"/>
        <v>0</v>
      </c>
      <c r="H42" s="6">
        <f t="shared" si="4"/>
        <v>0</v>
      </c>
      <c r="I42" s="6">
        <f t="shared" si="5"/>
        <v>1</v>
      </c>
      <c r="J42" s="6">
        <f t="shared" si="8"/>
        <v>0</v>
      </c>
      <c r="K42" s="6">
        <f t="shared" si="8"/>
        <v>1</v>
      </c>
      <c r="L42" s="6">
        <f t="shared" si="8"/>
        <v>0</v>
      </c>
      <c r="M42" s="6">
        <f t="shared" si="8"/>
        <v>0</v>
      </c>
      <c r="N42" s="6">
        <f t="shared" si="8"/>
        <v>0</v>
      </c>
      <c r="O42" s="6">
        <f t="shared" si="8"/>
        <v>0</v>
      </c>
      <c r="P42" s="6">
        <f t="shared" si="8"/>
        <v>0</v>
      </c>
      <c r="Q42" s="6">
        <f t="shared" si="9"/>
        <v>0</v>
      </c>
      <c r="R42" s="6">
        <f t="shared" si="9"/>
        <v>0</v>
      </c>
      <c r="S42" s="6">
        <f t="shared" si="9"/>
        <v>0</v>
      </c>
      <c r="T42" s="6">
        <f t="shared" si="9"/>
        <v>1</v>
      </c>
      <c r="U42" s="6">
        <f t="shared" si="9"/>
        <v>0</v>
      </c>
    </row>
    <row r="43" spans="1:31">
      <c r="A43" s="13">
        <v>25058</v>
      </c>
      <c r="B43" s="7">
        <f t="shared" ca="1" si="1"/>
        <v>3</v>
      </c>
      <c r="C43" s="6">
        <v>16</v>
      </c>
      <c r="D43" s="6" t="s">
        <v>42</v>
      </c>
      <c r="E43" s="6" t="s">
        <v>39</v>
      </c>
      <c r="F43" s="6">
        <f t="shared" si="2"/>
        <v>0</v>
      </c>
      <c r="G43" s="6">
        <f t="shared" si="3"/>
        <v>0</v>
      </c>
      <c r="H43" s="6">
        <f t="shared" si="4"/>
        <v>1</v>
      </c>
      <c r="I43" s="6">
        <f t="shared" si="5"/>
        <v>0</v>
      </c>
      <c r="J43" s="6">
        <f t="shared" si="8"/>
        <v>1</v>
      </c>
      <c r="K43" s="6">
        <f t="shared" si="8"/>
        <v>0</v>
      </c>
      <c r="L43" s="6">
        <f t="shared" si="8"/>
        <v>0</v>
      </c>
      <c r="M43" s="6">
        <f t="shared" si="8"/>
        <v>0</v>
      </c>
      <c r="N43" s="6">
        <f t="shared" si="8"/>
        <v>0</v>
      </c>
      <c r="O43" s="6">
        <f t="shared" si="8"/>
        <v>0</v>
      </c>
      <c r="P43" s="6">
        <f t="shared" si="8"/>
        <v>0</v>
      </c>
      <c r="Q43" s="6">
        <f t="shared" si="9"/>
        <v>0</v>
      </c>
      <c r="R43" s="6">
        <f t="shared" si="9"/>
        <v>0</v>
      </c>
      <c r="S43" s="6">
        <f t="shared" si="9"/>
        <v>1</v>
      </c>
      <c r="T43" s="6">
        <f t="shared" si="9"/>
        <v>0</v>
      </c>
      <c r="U43" s="6">
        <f t="shared" si="9"/>
        <v>0</v>
      </c>
    </row>
    <row r="44" spans="1:31">
      <c r="A44" s="13">
        <v>30212</v>
      </c>
      <c r="B44" s="7">
        <f t="shared" ca="1" si="1"/>
        <v>8</v>
      </c>
      <c r="C44" s="6">
        <v>18</v>
      </c>
      <c r="D44" s="6" t="s">
        <v>45</v>
      </c>
      <c r="E44" s="6" t="s">
        <v>39</v>
      </c>
      <c r="F44" s="6">
        <f t="shared" si="2"/>
        <v>0</v>
      </c>
      <c r="G44" s="6">
        <f t="shared" si="3"/>
        <v>0</v>
      </c>
      <c r="H44" s="6">
        <f t="shared" si="4"/>
        <v>1</v>
      </c>
      <c r="I44" s="6">
        <f t="shared" si="5"/>
        <v>0</v>
      </c>
      <c r="J44" s="6">
        <f t="shared" si="8"/>
        <v>0</v>
      </c>
      <c r="K44" s="6">
        <f t="shared" si="8"/>
        <v>0</v>
      </c>
      <c r="L44" s="6">
        <f t="shared" si="8"/>
        <v>1</v>
      </c>
      <c r="M44" s="6">
        <f t="shared" si="8"/>
        <v>0</v>
      </c>
      <c r="N44" s="6">
        <f t="shared" si="8"/>
        <v>0</v>
      </c>
      <c r="O44" s="6">
        <f t="shared" si="8"/>
        <v>0</v>
      </c>
      <c r="P44" s="6">
        <f t="shared" si="8"/>
        <v>0</v>
      </c>
      <c r="Q44" s="6">
        <f t="shared" si="9"/>
        <v>0</v>
      </c>
      <c r="R44" s="6">
        <f t="shared" si="9"/>
        <v>0</v>
      </c>
      <c r="S44" s="6">
        <f t="shared" si="9"/>
        <v>1</v>
      </c>
      <c r="T44" s="6">
        <f t="shared" si="9"/>
        <v>0</v>
      </c>
      <c r="U44" s="6">
        <f t="shared" si="9"/>
        <v>0</v>
      </c>
    </row>
    <row r="45" spans="1:31">
      <c r="A45" s="13">
        <v>11952</v>
      </c>
      <c r="B45" s="7">
        <f t="shared" ca="1" si="1"/>
        <v>5</v>
      </c>
      <c r="C45" s="6">
        <v>13</v>
      </c>
      <c r="D45" s="6" t="s">
        <v>18</v>
      </c>
      <c r="E45" s="6" t="s">
        <v>60</v>
      </c>
      <c r="F45" s="6">
        <f t="shared" si="2"/>
        <v>0</v>
      </c>
      <c r="G45" s="6">
        <f t="shared" si="3"/>
        <v>1</v>
      </c>
      <c r="H45" s="6">
        <f t="shared" si="4"/>
        <v>0</v>
      </c>
      <c r="I45" s="6">
        <f t="shared" si="5"/>
        <v>0</v>
      </c>
      <c r="J45" s="6">
        <f t="shared" si="8"/>
        <v>0</v>
      </c>
      <c r="K45" s="6">
        <f t="shared" si="8"/>
        <v>1</v>
      </c>
      <c r="L45" s="6">
        <f t="shared" si="8"/>
        <v>0</v>
      </c>
      <c r="M45" s="6">
        <f t="shared" si="8"/>
        <v>0</v>
      </c>
      <c r="N45" s="6">
        <f t="shared" si="8"/>
        <v>0</v>
      </c>
      <c r="O45" s="6">
        <f t="shared" si="8"/>
        <v>0</v>
      </c>
      <c r="P45" s="6">
        <f t="shared" si="8"/>
        <v>0</v>
      </c>
      <c r="Q45" s="6">
        <f t="shared" si="9"/>
        <v>0</v>
      </c>
      <c r="R45" s="6">
        <f t="shared" si="9"/>
        <v>0</v>
      </c>
      <c r="S45" s="6">
        <f t="shared" si="9"/>
        <v>0</v>
      </c>
      <c r="T45" s="6">
        <f t="shared" si="9"/>
        <v>0</v>
      </c>
      <c r="U45" s="6">
        <f t="shared" si="9"/>
        <v>1</v>
      </c>
    </row>
    <row r="46" spans="1:31">
      <c r="A46" s="13">
        <v>7377</v>
      </c>
      <c r="B46" s="7">
        <f t="shared" ca="1" si="1"/>
        <v>5</v>
      </c>
      <c r="C46" s="6">
        <v>20</v>
      </c>
      <c r="D46" s="6" t="s">
        <v>45</v>
      </c>
      <c r="E46" s="6" t="s">
        <v>35</v>
      </c>
      <c r="F46" s="6">
        <f t="shared" si="2"/>
        <v>0</v>
      </c>
      <c r="G46" s="6">
        <f t="shared" si="3"/>
        <v>0</v>
      </c>
      <c r="H46" s="6">
        <f t="shared" si="4"/>
        <v>0</v>
      </c>
      <c r="I46" s="6">
        <f t="shared" si="5"/>
        <v>1</v>
      </c>
      <c r="J46" s="6">
        <f t="shared" si="8"/>
        <v>0</v>
      </c>
      <c r="K46" s="6">
        <f t="shared" si="8"/>
        <v>0</v>
      </c>
      <c r="L46" s="6">
        <f t="shared" si="8"/>
        <v>1</v>
      </c>
      <c r="M46" s="6">
        <f t="shared" si="8"/>
        <v>0</v>
      </c>
      <c r="N46" s="6">
        <f t="shared" si="8"/>
        <v>0</v>
      </c>
      <c r="O46" s="6">
        <f t="shared" si="8"/>
        <v>0</v>
      </c>
      <c r="P46" s="6">
        <f t="shared" si="8"/>
        <v>0</v>
      </c>
      <c r="Q46" s="6">
        <f t="shared" si="9"/>
        <v>1</v>
      </c>
      <c r="R46" s="6">
        <f t="shared" si="9"/>
        <v>0</v>
      </c>
      <c r="S46" s="6">
        <f t="shared" si="9"/>
        <v>0</v>
      </c>
      <c r="T46" s="6">
        <f t="shared" si="9"/>
        <v>0</v>
      </c>
      <c r="U46" s="6">
        <f t="shared" si="9"/>
        <v>0</v>
      </c>
    </row>
    <row r="47" spans="1:31">
      <c r="A47" s="13">
        <v>25191</v>
      </c>
      <c r="B47" s="7">
        <f t="shared" ca="1" si="1"/>
        <v>9</v>
      </c>
      <c r="C47" s="6">
        <v>18</v>
      </c>
      <c r="D47" s="6" t="s">
        <v>51</v>
      </c>
      <c r="E47" s="6" t="s">
        <v>37</v>
      </c>
      <c r="F47" s="6">
        <f t="shared" si="2"/>
        <v>0</v>
      </c>
      <c r="G47" s="6">
        <f t="shared" si="3"/>
        <v>0</v>
      </c>
      <c r="H47" s="6">
        <f t="shared" si="4"/>
        <v>1</v>
      </c>
      <c r="I47" s="6">
        <f t="shared" si="5"/>
        <v>0</v>
      </c>
      <c r="J47" s="6">
        <f t="shared" si="8"/>
        <v>0</v>
      </c>
      <c r="K47" s="6">
        <f t="shared" si="8"/>
        <v>0</v>
      </c>
      <c r="L47" s="6">
        <f t="shared" si="8"/>
        <v>0</v>
      </c>
      <c r="M47" s="6">
        <f t="shared" si="8"/>
        <v>0</v>
      </c>
      <c r="N47" s="6">
        <f t="shared" si="8"/>
        <v>0</v>
      </c>
      <c r="O47" s="6">
        <f t="shared" si="8"/>
        <v>1</v>
      </c>
      <c r="P47" s="6">
        <f t="shared" si="8"/>
        <v>0</v>
      </c>
      <c r="Q47" s="6">
        <f t="shared" si="9"/>
        <v>0</v>
      </c>
      <c r="R47" s="6">
        <f t="shared" si="9"/>
        <v>1</v>
      </c>
      <c r="S47" s="6">
        <f t="shared" si="9"/>
        <v>0</v>
      </c>
      <c r="T47" s="6">
        <f t="shared" si="9"/>
        <v>0</v>
      </c>
      <c r="U47" s="6">
        <f t="shared" si="9"/>
        <v>0</v>
      </c>
    </row>
    <row r="48" spans="1:31">
      <c r="A48" s="13">
        <v>28498</v>
      </c>
      <c r="B48" s="7">
        <f t="shared" ca="1" si="1"/>
        <v>13</v>
      </c>
      <c r="C48" s="6">
        <v>13</v>
      </c>
      <c r="D48" s="6" t="s">
        <v>49</v>
      </c>
      <c r="E48" s="6" t="s">
        <v>35</v>
      </c>
      <c r="F48" s="6">
        <f t="shared" si="2"/>
        <v>0</v>
      </c>
      <c r="G48" s="6">
        <f t="shared" si="3"/>
        <v>1</v>
      </c>
      <c r="H48" s="6">
        <f t="shared" si="4"/>
        <v>0</v>
      </c>
      <c r="I48" s="6">
        <f t="shared" si="5"/>
        <v>0</v>
      </c>
      <c r="J48" s="6">
        <f t="shared" si="8"/>
        <v>0</v>
      </c>
      <c r="K48" s="6">
        <f t="shared" si="8"/>
        <v>0</v>
      </c>
      <c r="L48" s="6">
        <f t="shared" si="8"/>
        <v>0</v>
      </c>
      <c r="M48" s="6">
        <f t="shared" si="8"/>
        <v>0</v>
      </c>
      <c r="N48" s="6">
        <f t="shared" si="8"/>
        <v>1</v>
      </c>
      <c r="O48" s="6">
        <f t="shared" si="8"/>
        <v>0</v>
      </c>
      <c r="P48" s="6">
        <f t="shared" si="8"/>
        <v>0</v>
      </c>
      <c r="Q48" s="6">
        <f t="shared" si="9"/>
        <v>1</v>
      </c>
      <c r="R48" s="6">
        <f t="shared" si="9"/>
        <v>0</v>
      </c>
      <c r="S48" s="6">
        <f t="shared" si="9"/>
        <v>0</v>
      </c>
      <c r="T48" s="6">
        <f t="shared" si="9"/>
        <v>0</v>
      </c>
      <c r="U48" s="6">
        <f t="shared" si="9"/>
        <v>0</v>
      </c>
    </row>
    <row r="49" spans="1:21">
      <c r="A49" s="13">
        <v>9279</v>
      </c>
      <c r="B49" s="7">
        <f t="shared" ca="1" si="1"/>
        <v>8</v>
      </c>
      <c r="C49" s="6">
        <v>12</v>
      </c>
      <c r="D49" s="6" t="s">
        <v>53</v>
      </c>
      <c r="E49" s="6" t="s">
        <v>39</v>
      </c>
      <c r="F49" s="6">
        <f t="shared" si="2"/>
        <v>1</v>
      </c>
      <c r="G49" s="6">
        <f t="shared" si="3"/>
        <v>0</v>
      </c>
      <c r="H49" s="6">
        <f t="shared" si="4"/>
        <v>0</v>
      </c>
      <c r="I49" s="6">
        <f t="shared" si="5"/>
        <v>0</v>
      </c>
      <c r="J49" s="6">
        <f t="shared" si="8"/>
        <v>0</v>
      </c>
      <c r="K49" s="6">
        <f t="shared" si="8"/>
        <v>0</v>
      </c>
      <c r="L49" s="6">
        <f t="shared" si="8"/>
        <v>0</v>
      </c>
      <c r="M49" s="6">
        <f t="shared" si="8"/>
        <v>0</v>
      </c>
      <c r="N49" s="6">
        <f t="shared" si="8"/>
        <v>0</v>
      </c>
      <c r="O49" s="6">
        <f t="shared" si="8"/>
        <v>0</v>
      </c>
      <c r="P49" s="6">
        <f t="shared" si="8"/>
        <v>1</v>
      </c>
      <c r="Q49" s="6">
        <f t="shared" si="9"/>
        <v>0</v>
      </c>
      <c r="R49" s="6">
        <f t="shared" si="9"/>
        <v>0</v>
      </c>
      <c r="S49" s="6">
        <f t="shared" si="9"/>
        <v>1</v>
      </c>
      <c r="T49" s="6">
        <f t="shared" si="9"/>
        <v>0</v>
      </c>
      <c r="U49" s="6">
        <f t="shared" si="9"/>
        <v>0</v>
      </c>
    </row>
    <row r="50" spans="1:21">
      <c r="A50" s="13">
        <v>10708</v>
      </c>
      <c r="B50" s="7">
        <f t="shared" ca="1" si="1"/>
        <v>4</v>
      </c>
      <c r="C50" s="6">
        <v>15</v>
      </c>
      <c r="D50" s="6" t="s">
        <v>51</v>
      </c>
      <c r="E50" s="6" t="s">
        <v>37</v>
      </c>
      <c r="F50" s="6">
        <f t="shared" si="2"/>
        <v>0</v>
      </c>
      <c r="G50" s="6">
        <f t="shared" si="3"/>
        <v>1</v>
      </c>
      <c r="H50" s="6">
        <f t="shared" si="4"/>
        <v>0</v>
      </c>
      <c r="I50" s="6">
        <f t="shared" si="5"/>
        <v>0</v>
      </c>
      <c r="J50" s="6">
        <f t="shared" si="8"/>
        <v>0</v>
      </c>
      <c r="K50" s="6">
        <f t="shared" si="8"/>
        <v>0</v>
      </c>
      <c r="L50" s="6">
        <f t="shared" si="8"/>
        <v>0</v>
      </c>
      <c r="M50" s="6">
        <f t="shared" si="8"/>
        <v>0</v>
      </c>
      <c r="N50" s="6">
        <f t="shared" si="8"/>
        <v>0</v>
      </c>
      <c r="O50" s="6">
        <f t="shared" si="8"/>
        <v>1</v>
      </c>
      <c r="P50" s="6">
        <f t="shared" si="8"/>
        <v>0</v>
      </c>
      <c r="Q50" s="6">
        <f t="shared" si="9"/>
        <v>0</v>
      </c>
      <c r="R50" s="6">
        <f t="shared" si="9"/>
        <v>1</v>
      </c>
      <c r="S50" s="6">
        <f t="shared" si="9"/>
        <v>0</v>
      </c>
      <c r="T50" s="6">
        <f t="shared" si="9"/>
        <v>0</v>
      </c>
      <c r="U50" s="6">
        <f t="shared" si="9"/>
        <v>0</v>
      </c>
    </row>
    <row r="51" spans="1:21">
      <c r="A51" s="13">
        <v>3761</v>
      </c>
      <c r="B51" s="7">
        <f t="shared" ca="1" si="1"/>
        <v>10</v>
      </c>
      <c r="C51" s="6">
        <v>16</v>
      </c>
      <c r="D51" s="6" t="s">
        <v>42</v>
      </c>
      <c r="E51" s="6" t="s">
        <v>60</v>
      </c>
      <c r="F51" s="6">
        <f t="shared" si="2"/>
        <v>0</v>
      </c>
      <c r="G51" s="6">
        <f t="shared" si="3"/>
        <v>0</v>
      </c>
      <c r="H51" s="6">
        <f t="shared" si="4"/>
        <v>1</v>
      </c>
      <c r="I51" s="6">
        <f t="shared" si="5"/>
        <v>0</v>
      </c>
      <c r="J51" s="6">
        <f t="shared" si="8"/>
        <v>1</v>
      </c>
      <c r="K51" s="6">
        <f t="shared" si="8"/>
        <v>0</v>
      </c>
      <c r="L51" s="6">
        <f t="shared" si="8"/>
        <v>0</v>
      </c>
      <c r="M51" s="6">
        <f t="shared" si="8"/>
        <v>0</v>
      </c>
      <c r="N51" s="6">
        <f t="shared" si="8"/>
        <v>0</v>
      </c>
      <c r="O51" s="6">
        <f t="shared" si="8"/>
        <v>0</v>
      </c>
      <c r="P51" s="6">
        <f t="shared" si="8"/>
        <v>0</v>
      </c>
      <c r="Q51" s="6">
        <f t="shared" si="9"/>
        <v>0</v>
      </c>
      <c r="R51" s="6">
        <f t="shared" si="9"/>
        <v>0</v>
      </c>
      <c r="S51" s="6">
        <f t="shared" si="9"/>
        <v>0</v>
      </c>
      <c r="T51" s="6">
        <f t="shared" si="9"/>
        <v>0</v>
      </c>
      <c r="U51" s="6">
        <f t="shared" si="9"/>
        <v>1</v>
      </c>
    </row>
    <row r="52" spans="1:21">
      <c r="A52" s="13">
        <v>7449</v>
      </c>
      <c r="B52" s="7">
        <f t="shared" ca="1" si="1"/>
        <v>15</v>
      </c>
      <c r="C52" s="6">
        <v>22</v>
      </c>
      <c r="D52" s="6" t="s">
        <v>47</v>
      </c>
      <c r="E52" s="6" t="s">
        <v>35</v>
      </c>
      <c r="F52" s="6">
        <f t="shared" si="2"/>
        <v>0</v>
      </c>
      <c r="G52" s="6">
        <f t="shared" si="3"/>
        <v>0</v>
      </c>
      <c r="H52" s="6">
        <f t="shared" si="4"/>
        <v>0</v>
      </c>
      <c r="I52" s="6">
        <f t="shared" si="5"/>
        <v>1</v>
      </c>
      <c r="J52" s="6">
        <f t="shared" si="8"/>
        <v>0</v>
      </c>
      <c r="K52" s="6">
        <f t="shared" si="8"/>
        <v>0</v>
      </c>
      <c r="L52" s="6">
        <f t="shared" si="8"/>
        <v>0</v>
      </c>
      <c r="M52" s="6">
        <f t="shared" si="8"/>
        <v>1</v>
      </c>
      <c r="N52" s="6">
        <f t="shared" si="8"/>
        <v>0</v>
      </c>
      <c r="O52" s="6">
        <f t="shared" si="8"/>
        <v>0</v>
      </c>
      <c r="P52" s="6">
        <f t="shared" si="8"/>
        <v>0</v>
      </c>
      <c r="Q52" s="6">
        <f t="shared" si="9"/>
        <v>1</v>
      </c>
      <c r="R52" s="6">
        <f t="shared" si="9"/>
        <v>0</v>
      </c>
      <c r="S52" s="6">
        <f t="shared" si="9"/>
        <v>0</v>
      </c>
      <c r="T52" s="6">
        <f t="shared" si="9"/>
        <v>0</v>
      </c>
      <c r="U52" s="6">
        <f t="shared" si="9"/>
        <v>0</v>
      </c>
    </row>
    <row r="53" spans="1:21">
      <c r="A53" s="13">
        <v>20207</v>
      </c>
      <c r="B53" s="7">
        <f t="shared" ca="1" si="1"/>
        <v>14</v>
      </c>
      <c r="C53" s="6">
        <v>19</v>
      </c>
      <c r="D53" s="6" t="s">
        <v>53</v>
      </c>
      <c r="E53" s="6" t="s">
        <v>35</v>
      </c>
      <c r="F53" s="6">
        <f t="shared" si="2"/>
        <v>0</v>
      </c>
      <c r="G53" s="6">
        <f t="shared" si="3"/>
        <v>0</v>
      </c>
      <c r="H53" s="6">
        <f t="shared" si="4"/>
        <v>0</v>
      </c>
      <c r="I53" s="6">
        <f t="shared" si="5"/>
        <v>1</v>
      </c>
      <c r="J53" s="6">
        <f t="shared" si="8"/>
        <v>0</v>
      </c>
      <c r="K53" s="6">
        <f t="shared" si="8"/>
        <v>0</v>
      </c>
      <c r="L53" s="6">
        <f t="shared" si="8"/>
        <v>0</v>
      </c>
      <c r="M53" s="6">
        <f t="shared" si="8"/>
        <v>0</v>
      </c>
      <c r="N53" s="6">
        <f t="shared" si="8"/>
        <v>0</v>
      </c>
      <c r="O53" s="6">
        <f t="shared" si="8"/>
        <v>0</v>
      </c>
      <c r="P53" s="6">
        <f t="shared" si="8"/>
        <v>1</v>
      </c>
      <c r="Q53" s="6">
        <f t="shared" si="9"/>
        <v>1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</row>
    <row r="54" spans="1:21">
      <c r="A54" s="13">
        <v>17869</v>
      </c>
      <c r="B54" s="7">
        <f t="shared" ca="1" si="1"/>
        <v>15</v>
      </c>
      <c r="C54" s="6">
        <v>19</v>
      </c>
      <c r="D54" s="6" t="s">
        <v>51</v>
      </c>
      <c r="E54" s="6" t="s">
        <v>58</v>
      </c>
      <c r="F54" s="6">
        <f t="shared" si="2"/>
        <v>0</v>
      </c>
      <c r="G54" s="6">
        <f t="shared" si="3"/>
        <v>0</v>
      </c>
      <c r="H54" s="6">
        <f t="shared" si="4"/>
        <v>0</v>
      </c>
      <c r="I54" s="6">
        <f t="shared" si="5"/>
        <v>1</v>
      </c>
      <c r="J54" s="6">
        <f t="shared" si="8"/>
        <v>0</v>
      </c>
      <c r="K54" s="6">
        <f t="shared" si="8"/>
        <v>0</v>
      </c>
      <c r="L54" s="6">
        <f t="shared" si="8"/>
        <v>0</v>
      </c>
      <c r="M54" s="6">
        <f t="shared" si="8"/>
        <v>0</v>
      </c>
      <c r="N54" s="6">
        <f t="shared" si="8"/>
        <v>0</v>
      </c>
      <c r="O54" s="6">
        <f t="shared" si="8"/>
        <v>1</v>
      </c>
      <c r="P54" s="6">
        <f t="shared" si="8"/>
        <v>0</v>
      </c>
      <c r="Q54" s="6">
        <f t="shared" si="9"/>
        <v>0</v>
      </c>
      <c r="R54" s="6">
        <f t="shared" si="9"/>
        <v>0</v>
      </c>
      <c r="S54" s="6">
        <f t="shared" si="9"/>
        <v>0</v>
      </c>
      <c r="T54" s="6">
        <f t="shared" si="9"/>
        <v>1</v>
      </c>
      <c r="U54" s="6">
        <f t="shared" si="9"/>
        <v>0</v>
      </c>
    </row>
    <row r="55" spans="1:21">
      <c r="A55" s="13">
        <v>11989</v>
      </c>
      <c r="B55" s="7">
        <f t="shared" ca="1" si="1"/>
        <v>10</v>
      </c>
      <c r="C55" s="6">
        <v>17</v>
      </c>
      <c r="D55" s="6" t="s">
        <v>47</v>
      </c>
      <c r="E55" s="6" t="s">
        <v>35</v>
      </c>
      <c r="F55" s="6">
        <f t="shared" si="2"/>
        <v>0</v>
      </c>
      <c r="G55" s="6">
        <f t="shared" si="3"/>
        <v>0</v>
      </c>
      <c r="H55" s="6">
        <f t="shared" si="4"/>
        <v>1</v>
      </c>
      <c r="I55" s="6">
        <f t="shared" si="5"/>
        <v>0</v>
      </c>
      <c r="J55" s="6">
        <f t="shared" si="8"/>
        <v>0</v>
      </c>
      <c r="K55" s="6">
        <f t="shared" si="8"/>
        <v>0</v>
      </c>
      <c r="L55" s="6">
        <f t="shared" si="8"/>
        <v>0</v>
      </c>
      <c r="M55" s="6">
        <f t="shared" si="8"/>
        <v>1</v>
      </c>
      <c r="N55" s="6">
        <f t="shared" si="8"/>
        <v>0</v>
      </c>
      <c r="O55" s="6">
        <f t="shared" si="8"/>
        <v>0</v>
      </c>
      <c r="P55" s="6">
        <f t="shared" si="8"/>
        <v>0</v>
      </c>
      <c r="Q55" s="6">
        <f t="shared" si="9"/>
        <v>1</v>
      </c>
      <c r="R55" s="6">
        <f t="shared" si="9"/>
        <v>0</v>
      </c>
      <c r="S55" s="6">
        <f t="shared" si="9"/>
        <v>0</v>
      </c>
      <c r="T55" s="6">
        <f t="shared" si="9"/>
        <v>0</v>
      </c>
      <c r="U55" s="6">
        <f t="shared" si="9"/>
        <v>0</v>
      </c>
    </row>
    <row r="56" spans="1:21">
      <c r="A56" s="13">
        <v>29716</v>
      </c>
      <c r="B56" s="7">
        <f t="shared" ca="1" si="1"/>
        <v>14</v>
      </c>
      <c r="C56" s="6">
        <v>10</v>
      </c>
      <c r="D56" s="6" t="s">
        <v>45</v>
      </c>
      <c r="E56" s="6" t="s">
        <v>37</v>
      </c>
      <c r="F56" s="6">
        <f t="shared" si="2"/>
        <v>1</v>
      </c>
      <c r="G56" s="6">
        <f t="shared" si="3"/>
        <v>0</v>
      </c>
      <c r="H56" s="6">
        <f t="shared" si="4"/>
        <v>0</v>
      </c>
      <c r="I56" s="6">
        <f t="shared" si="5"/>
        <v>0</v>
      </c>
      <c r="J56" s="6">
        <f t="shared" si="8"/>
        <v>0</v>
      </c>
      <c r="K56" s="6">
        <f t="shared" si="8"/>
        <v>0</v>
      </c>
      <c r="L56" s="6">
        <f t="shared" si="8"/>
        <v>1</v>
      </c>
      <c r="M56" s="6">
        <f t="shared" si="8"/>
        <v>0</v>
      </c>
      <c r="N56" s="6">
        <f t="shared" si="8"/>
        <v>0</v>
      </c>
      <c r="O56" s="6">
        <f t="shared" si="8"/>
        <v>0</v>
      </c>
      <c r="P56" s="6">
        <f t="shared" si="8"/>
        <v>0</v>
      </c>
      <c r="Q56" s="6">
        <f t="shared" si="9"/>
        <v>0</v>
      </c>
      <c r="R56" s="6">
        <f t="shared" si="9"/>
        <v>1</v>
      </c>
      <c r="S56" s="6">
        <f t="shared" si="9"/>
        <v>0</v>
      </c>
      <c r="T56" s="6">
        <f t="shared" si="9"/>
        <v>0</v>
      </c>
      <c r="U56" s="6">
        <f t="shared" si="9"/>
        <v>0</v>
      </c>
    </row>
    <row r="57" spans="1:21">
      <c r="A57" s="13">
        <v>9296</v>
      </c>
      <c r="B57" s="7">
        <f t="shared" ca="1" si="1"/>
        <v>7</v>
      </c>
      <c r="C57" s="6">
        <v>20</v>
      </c>
      <c r="D57" s="6" t="s">
        <v>42</v>
      </c>
      <c r="E57" s="6" t="s">
        <v>60</v>
      </c>
      <c r="F57" s="6">
        <f t="shared" si="2"/>
        <v>0</v>
      </c>
      <c r="G57" s="6">
        <f t="shared" si="3"/>
        <v>0</v>
      </c>
      <c r="H57" s="6">
        <f t="shared" si="4"/>
        <v>0</v>
      </c>
      <c r="I57" s="6">
        <f t="shared" si="5"/>
        <v>1</v>
      </c>
      <c r="J57" s="6">
        <f t="shared" si="8"/>
        <v>1</v>
      </c>
      <c r="K57" s="6">
        <f t="shared" si="8"/>
        <v>0</v>
      </c>
      <c r="L57" s="6">
        <f t="shared" si="8"/>
        <v>0</v>
      </c>
      <c r="M57" s="6">
        <f t="shared" si="8"/>
        <v>0</v>
      </c>
      <c r="N57" s="6">
        <f t="shared" si="8"/>
        <v>0</v>
      </c>
      <c r="O57" s="6">
        <f t="shared" si="8"/>
        <v>0</v>
      </c>
      <c r="P57" s="6">
        <f t="shared" si="8"/>
        <v>0</v>
      </c>
      <c r="Q57" s="6">
        <f t="shared" si="9"/>
        <v>0</v>
      </c>
      <c r="R57" s="6">
        <f t="shared" si="9"/>
        <v>0</v>
      </c>
      <c r="S57" s="6">
        <f t="shared" si="9"/>
        <v>0</v>
      </c>
      <c r="T57" s="6">
        <f t="shared" si="9"/>
        <v>0</v>
      </c>
      <c r="U57" s="6">
        <f t="shared" si="9"/>
        <v>1</v>
      </c>
    </row>
    <row r="58" spans="1:21">
      <c r="A58" s="13">
        <v>17167</v>
      </c>
      <c r="B58" s="7">
        <f t="shared" ca="1" si="1"/>
        <v>3</v>
      </c>
      <c r="C58" s="6">
        <v>19</v>
      </c>
      <c r="D58" s="6" t="s">
        <v>47</v>
      </c>
      <c r="E58" s="6" t="s">
        <v>60</v>
      </c>
      <c r="F58" s="6">
        <f t="shared" si="2"/>
        <v>0</v>
      </c>
      <c r="G58" s="6">
        <f t="shared" si="3"/>
        <v>0</v>
      </c>
      <c r="H58" s="6">
        <f t="shared" si="4"/>
        <v>0</v>
      </c>
      <c r="I58" s="6">
        <f t="shared" si="5"/>
        <v>1</v>
      </c>
      <c r="J58" s="6">
        <f t="shared" si="8"/>
        <v>0</v>
      </c>
      <c r="K58" s="6">
        <f t="shared" si="8"/>
        <v>0</v>
      </c>
      <c r="L58" s="6">
        <f t="shared" si="8"/>
        <v>0</v>
      </c>
      <c r="M58" s="6">
        <f t="shared" si="8"/>
        <v>1</v>
      </c>
      <c r="N58" s="6">
        <f t="shared" si="8"/>
        <v>0</v>
      </c>
      <c r="O58" s="6">
        <f t="shared" si="8"/>
        <v>0</v>
      </c>
      <c r="P58" s="6">
        <f t="shared" si="8"/>
        <v>0</v>
      </c>
      <c r="Q58" s="6">
        <f t="shared" si="9"/>
        <v>0</v>
      </c>
      <c r="R58" s="6">
        <f t="shared" si="9"/>
        <v>0</v>
      </c>
      <c r="S58" s="6">
        <f t="shared" si="9"/>
        <v>0</v>
      </c>
      <c r="T58" s="6">
        <f t="shared" si="9"/>
        <v>0</v>
      </c>
      <c r="U58" s="6">
        <f t="shared" si="9"/>
        <v>1</v>
      </c>
    </row>
    <row r="59" spans="1:21">
      <c r="A59" s="13">
        <v>12138</v>
      </c>
      <c r="B59" s="7">
        <f t="shared" ca="1" si="1"/>
        <v>13</v>
      </c>
      <c r="C59" s="6">
        <v>22</v>
      </c>
      <c r="D59" s="6" t="s">
        <v>18</v>
      </c>
      <c r="E59" s="6" t="s">
        <v>35</v>
      </c>
      <c r="F59" s="6">
        <f t="shared" si="2"/>
        <v>0</v>
      </c>
      <c r="G59" s="6">
        <f t="shared" si="3"/>
        <v>0</v>
      </c>
      <c r="H59" s="6">
        <f t="shared" si="4"/>
        <v>0</v>
      </c>
      <c r="I59" s="6">
        <f t="shared" si="5"/>
        <v>1</v>
      </c>
      <c r="J59" s="6">
        <f t="shared" si="8"/>
        <v>0</v>
      </c>
      <c r="K59" s="6">
        <f t="shared" si="8"/>
        <v>1</v>
      </c>
      <c r="L59" s="6">
        <f t="shared" si="8"/>
        <v>0</v>
      </c>
      <c r="M59" s="6">
        <f t="shared" si="8"/>
        <v>0</v>
      </c>
      <c r="N59" s="6">
        <f t="shared" si="8"/>
        <v>0</v>
      </c>
      <c r="O59" s="6">
        <f t="shared" si="8"/>
        <v>0</v>
      </c>
      <c r="P59" s="6">
        <f t="shared" si="8"/>
        <v>0</v>
      </c>
      <c r="Q59" s="6">
        <f t="shared" si="9"/>
        <v>1</v>
      </c>
      <c r="R59" s="6">
        <f t="shared" si="9"/>
        <v>0</v>
      </c>
      <c r="S59" s="6">
        <f t="shared" si="9"/>
        <v>0</v>
      </c>
      <c r="T59" s="6">
        <f t="shared" si="9"/>
        <v>0</v>
      </c>
      <c r="U59" s="6">
        <f t="shared" si="9"/>
        <v>0</v>
      </c>
    </row>
    <row r="60" spans="1:21">
      <c r="A60" s="13">
        <v>25857</v>
      </c>
      <c r="B60" s="7">
        <f t="shared" ca="1" si="1"/>
        <v>7</v>
      </c>
      <c r="C60" s="6">
        <v>21</v>
      </c>
      <c r="D60" s="6" t="s">
        <v>53</v>
      </c>
      <c r="E60" s="6" t="s">
        <v>58</v>
      </c>
      <c r="F60" s="6">
        <f t="shared" si="2"/>
        <v>0</v>
      </c>
      <c r="G60" s="6">
        <f t="shared" si="3"/>
        <v>0</v>
      </c>
      <c r="H60" s="6">
        <f t="shared" si="4"/>
        <v>0</v>
      </c>
      <c r="I60" s="6">
        <f t="shared" si="5"/>
        <v>1</v>
      </c>
      <c r="J60" s="6">
        <f t="shared" si="8"/>
        <v>0</v>
      </c>
      <c r="K60" s="6">
        <f t="shared" si="8"/>
        <v>0</v>
      </c>
      <c r="L60" s="6">
        <f t="shared" si="8"/>
        <v>0</v>
      </c>
      <c r="M60" s="6">
        <f t="shared" si="8"/>
        <v>0</v>
      </c>
      <c r="N60" s="6">
        <f t="shared" si="8"/>
        <v>0</v>
      </c>
      <c r="O60" s="6">
        <f t="shared" si="8"/>
        <v>0</v>
      </c>
      <c r="P60" s="6">
        <f t="shared" si="8"/>
        <v>1</v>
      </c>
      <c r="Q60" s="6">
        <f t="shared" si="9"/>
        <v>0</v>
      </c>
      <c r="R60" s="6">
        <f t="shared" si="9"/>
        <v>0</v>
      </c>
      <c r="S60" s="6">
        <f t="shared" si="9"/>
        <v>0</v>
      </c>
      <c r="T60" s="6">
        <f t="shared" si="9"/>
        <v>1</v>
      </c>
      <c r="U60" s="6">
        <f t="shared" si="9"/>
        <v>0</v>
      </c>
    </row>
    <row r="61" spans="1:21">
      <c r="A61" s="13">
        <v>15539</v>
      </c>
      <c r="B61" s="7">
        <f t="shared" ca="1" si="1"/>
        <v>15</v>
      </c>
      <c r="C61" s="6">
        <v>15</v>
      </c>
      <c r="D61" s="6" t="s">
        <v>49</v>
      </c>
      <c r="E61" s="6" t="s">
        <v>35</v>
      </c>
      <c r="F61" s="6">
        <f t="shared" si="2"/>
        <v>0</v>
      </c>
      <c r="G61" s="6">
        <f t="shared" si="3"/>
        <v>1</v>
      </c>
      <c r="H61" s="6">
        <f t="shared" si="4"/>
        <v>0</v>
      </c>
      <c r="I61" s="6">
        <f t="shared" si="5"/>
        <v>0</v>
      </c>
      <c r="J61" s="6">
        <f t="shared" si="8"/>
        <v>0</v>
      </c>
      <c r="K61" s="6">
        <f t="shared" si="8"/>
        <v>0</v>
      </c>
      <c r="L61" s="6">
        <f t="shared" si="8"/>
        <v>0</v>
      </c>
      <c r="M61" s="6">
        <f t="shared" si="8"/>
        <v>0</v>
      </c>
      <c r="N61" s="6">
        <f t="shared" si="8"/>
        <v>1</v>
      </c>
      <c r="O61" s="6">
        <f t="shared" si="8"/>
        <v>0</v>
      </c>
      <c r="P61" s="6">
        <f t="shared" si="8"/>
        <v>0</v>
      </c>
      <c r="Q61" s="6">
        <f t="shared" si="9"/>
        <v>1</v>
      </c>
      <c r="R61" s="6">
        <f t="shared" si="9"/>
        <v>0</v>
      </c>
      <c r="S61" s="6">
        <f t="shared" si="9"/>
        <v>0</v>
      </c>
      <c r="T61" s="6">
        <f t="shared" si="9"/>
        <v>0</v>
      </c>
      <c r="U61" s="6">
        <f t="shared" si="9"/>
        <v>0</v>
      </c>
    </row>
    <row r="62" spans="1:21">
      <c r="A62" s="13">
        <v>19058</v>
      </c>
      <c r="B62" s="7">
        <f t="shared" ca="1" si="1"/>
        <v>13</v>
      </c>
      <c r="C62" s="6">
        <v>19</v>
      </c>
      <c r="D62" s="6" t="s">
        <v>49</v>
      </c>
      <c r="E62" s="6" t="s">
        <v>37</v>
      </c>
      <c r="F62" s="6">
        <f t="shared" si="2"/>
        <v>0</v>
      </c>
      <c r="G62" s="6">
        <f t="shared" si="3"/>
        <v>0</v>
      </c>
      <c r="H62" s="6">
        <f t="shared" si="4"/>
        <v>0</v>
      </c>
      <c r="I62" s="6">
        <f t="shared" si="5"/>
        <v>1</v>
      </c>
      <c r="J62" s="6">
        <f t="shared" si="8"/>
        <v>0</v>
      </c>
      <c r="K62" s="6">
        <f t="shared" si="8"/>
        <v>0</v>
      </c>
      <c r="L62" s="6">
        <f t="shared" si="8"/>
        <v>0</v>
      </c>
      <c r="M62" s="6">
        <f t="shared" si="8"/>
        <v>0</v>
      </c>
      <c r="N62" s="6">
        <f t="shared" si="8"/>
        <v>1</v>
      </c>
      <c r="O62" s="6">
        <f t="shared" si="8"/>
        <v>0</v>
      </c>
      <c r="P62" s="6">
        <f t="shared" si="8"/>
        <v>0</v>
      </c>
      <c r="Q62" s="6">
        <f t="shared" si="9"/>
        <v>0</v>
      </c>
      <c r="R62" s="6">
        <f t="shared" si="9"/>
        <v>1</v>
      </c>
      <c r="S62" s="6">
        <f t="shared" si="9"/>
        <v>0</v>
      </c>
      <c r="T62" s="6">
        <f t="shared" si="9"/>
        <v>0</v>
      </c>
      <c r="U62" s="6">
        <f t="shared" si="9"/>
        <v>0</v>
      </c>
    </row>
    <row r="63" spans="1:21">
      <c r="A63" s="13">
        <v>8981</v>
      </c>
      <c r="B63" s="7">
        <f t="shared" ca="1" si="1"/>
        <v>3</v>
      </c>
      <c r="C63" s="6">
        <v>16</v>
      </c>
      <c r="D63" s="6" t="s">
        <v>47</v>
      </c>
      <c r="E63" s="6" t="s">
        <v>58</v>
      </c>
      <c r="F63" s="6">
        <f t="shared" si="2"/>
        <v>0</v>
      </c>
      <c r="G63" s="6">
        <f t="shared" si="3"/>
        <v>0</v>
      </c>
      <c r="H63" s="6">
        <f t="shared" si="4"/>
        <v>1</v>
      </c>
      <c r="I63" s="6">
        <f t="shared" si="5"/>
        <v>0</v>
      </c>
      <c r="J63" s="6">
        <f t="shared" si="8"/>
        <v>0</v>
      </c>
      <c r="K63" s="6">
        <f t="shared" si="8"/>
        <v>0</v>
      </c>
      <c r="L63" s="6">
        <f t="shared" si="8"/>
        <v>0</v>
      </c>
      <c r="M63" s="6">
        <f t="shared" si="8"/>
        <v>1</v>
      </c>
      <c r="N63" s="6">
        <f t="shared" si="8"/>
        <v>0</v>
      </c>
      <c r="O63" s="6">
        <f t="shared" si="8"/>
        <v>0</v>
      </c>
      <c r="P63" s="6">
        <f t="shared" si="8"/>
        <v>0</v>
      </c>
      <c r="Q63" s="6">
        <f t="shared" si="9"/>
        <v>0</v>
      </c>
      <c r="R63" s="6">
        <f t="shared" si="9"/>
        <v>0</v>
      </c>
      <c r="S63" s="6">
        <f t="shared" si="9"/>
        <v>0</v>
      </c>
      <c r="T63" s="6">
        <f t="shared" si="9"/>
        <v>1</v>
      </c>
      <c r="U63" s="6">
        <f t="shared" si="9"/>
        <v>0</v>
      </c>
    </row>
    <row r="64" spans="1:21">
      <c r="A64" s="13">
        <v>34104</v>
      </c>
      <c r="B64" s="7">
        <f t="shared" ca="1" si="1"/>
        <v>4</v>
      </c>
      <c r="C64" s="6">
        <v>13</v>
      </c>
      <c r="D64" s="6" t="s">
        <v>51</v>
      </c>
      <c r="E64" s="6" t="s">
        <v>37</v>
      </c>
      <c r="F64" s="6">
        <f t="shared" si="2"/>
        <v>0</v>
      </c>
      <c r="G64" s="6">
        <f t="shared" si="3"/>
        <v>1</v>
      </c>
      <c r="H64" s="6">
        <f t="shared" si="4"/>
        <v>0</v>
      </c>
      <c r="I64" s="6">
        <f t="shared" si="5"/>
        <v>0</v>
      </c>
      <c r="J64" s="6">
        <f t="shared" si="8"/>
        <v>0</v>
      </c>
      <c r="K64" s="6">
        <f t="shared" si="8"/>
        <v>0</v>
      </c>
      <c r="L64" s="6">
        <f t="shared" si="8"/>
        <v>0</v>
      </c>
      <c r="M64" s="6">
        <f t="shared" si="8"/>
        <v>0</v>
      </c>
      <c r="N64" s="6">
        <f t="shared" si="8"/>
        <v>0</v>
      </c>
      <c r="O64" s="6">
        <f t="shared" si="8"/>
        <v>1</v>
      </c>
      <c r="P64" s="6">
        <f t="shared" si="8"/>
        <v>0</v>
      </c>
      <c r="Q64" s="6">
        <f t="shared" si="9"/>
        <v>0</v>
      </c>
      <c r="R64" s="6">
        <f t="shared" si="9"/>
        <v>1</v>
      </c>
      <c r="S64" s="6">
        <f t="shared" si="9"/>
        <v>0</v>
      </c>
      <c r="T64" s="6">
        <f t="shared" si="9"/>
        <v>0</v>
      </c>
      <c r="U64" s="6">
        <f t="shared" si="9"/>
        <v>0</v>
      </c>
    </row>
    <row r="65" spans="1:21">
      <c r="A65" s="13">
        <v>12546</v>
      </c>
      <c r="B65" s="7">
        <f t="shared" ca="1" si="1"/>
        <v>8</v>
      </c>
      <c r="C65" s="6">
        <v>21</v>
      </c>
      <c r="D65" s="6" t="s">
        <v>47</v>
      </c>
      <c r="E65" s="6" t="s">
        <v>37</v>
      </c>
      <c r="F65" s="6">
        <f t="shared" si="2"/>
        <v>0</v>
      </c>
      <c r="G65" s="6">
        <f t="shared" si="3"/>
        <v>0</v>
      </c>
      <c r="H65" s="6">
        <f t="shared" si="4"/>
        <v>0</v>
      </c>
      <c r="I65" s="6">
        <f t="shared" si="5"/>
        <v>1</v>
      </c>
      <c r="J65" s="6">
        <f t="shared" si="8"/>
        <v>0</v>
      </c>
      <c r="K65" s="6">
        <f t="shared" si="8"/>
        <v>0</v>
      </c>
      <c r="L65" s="6">
        <f t="shared" si="8"/>
        <v>0</v>
      </c>
      <c r="M65" s="6">
        <f t="shared" si="8"/>
        <v>1</v>
      </c>
      <c r="N65" s="6">
        <f t="shared" si="8"/>
        <v>0</v>
      </c>
      <c r="O65" s="6">
        <f t="shared" si="8"/>
        <v>0</v>
      </c>
      <c r="P65" s="6">
        <f t="shared" si="8"/>
        <v>0</v>
      </c>
      <c r="Q65" s="6">
        <f t="shared" si="9"/>
        <v>0</v>
      </c>
      <c r="R65" s="6">
        <f t="shared" si="9"/>
        <v>1</v>
      </c>
      <c r="S65" s="6">
        <f t="shared" si="9"/>
        <v>0</v>
      </c>
      <c r="T65" s="6">
        <f t="shared" si="9"/>
        <v>0</v>
      </c>
      <c r="U65" s="6">
        <f t="shared" si="9"/>
        <v>0</v>
      </c>
    </row>
    <row r="66" spans="1:21">
      <c r="A66" s="13">
        <v>21779</v>
      </c>
      <c r="B66" s="7">
        <f t="shared" ca="1" si="1"/>
        <v>4</v>
      </c>
      <c r="C66" s="6">
        <v>20</v>
      </c>
      <c r="D66" s="6" t="s">
        <v>53</v>
      </c>
      <c r="E66" s="6" t="s">
        <v>58</v>
      </c>
      <c r="F66" s="6">
        <f t="shared" si="2"/>
        <v>0</v>
      </c>
      <c r="G66" s="6">
        <f t="shared" si="3"/>
        <v>0</v>
      </c>
      <c r="H66" s="6">
        <f t="shared" si="4"/>
        <v>0</v>
      </c>
      <c r="I66" s="6">
        <f t="shared" si="5"/>
        <v>1</v>
      </c>
      <c r="J66" s="6">
        <f t="shared" si="8"/>
        <v>0</v>
      </c>
      <c r="K66" s="6">
        <f t="shared" si="8"/>
        <v>0</v>
      </c>
      <c r="L66" s="6">
        <f t="shared" si="8"/>
        <v>0</v>
      </c>
      <c r="M66" s="6">
        <f t="shared" si="8"/>
        <v>0</v>
      </c>
      <c r="N66" s="6">
        <f t="shared" si="8"/>
        <v>0</v>
      </c>
      <c r="O66" s="6">
        <f t="shared" si="8"/>
        <v>0</v>
      </c>
      <c r="P66" s="6">
        <f t="shared" si="8"/>
        <v>1</v>
      </c>
      <c r="Q66" s="6">
        <f t="shared" si="9"/>
        <v>0</v>
      </c>
      <c r="R66" s="6">
        <f t="shared" si="9"/>
        <v>0</v>
      </c>
      <c r="S66" s="6">
        <f t="shared" si="9"/>
        <v>0</v>
      </c>
      <c r="T66" s="6">
        <f t="shared" si="9"/>
        <v>1</v>
      </c>
      <c r="U66" s="6">
        <f t="shared" si="9"/>
        <v>0</v>
      </c>
    </row>
    <row r="67" spans="1:21">
      <c r="A67" s="13">
        <v>6975</v>
      </c>
      <c r="B67" s="7">
        <f t="shared" ca="1" si="1"/>
        <v>15</v>
      </c>
      <c r="C67" s="6">
        <v>20</v>
      </c>
      <c r="D67" s="6" t="s">
        <v>47</v>
      </c>
      <c r="E67" s="6" t="s">
        <v>60</v>
      </c>
      <c r="F67" s="6">
        <f t="shared" si="2"/>
        <v>0</v>
      </c>
      <c r="G67" s="6">
        <f t="shared" si="3"/>
        <v>0</v>
      </c>
      <c r="H67" s="6">
        <f t="shared" si="4"/>
        <v>0</v>
      </c>
      <c r="I67" s="6">
        <f t="shared" si="5"/>
        <v>1</v>
      </c>
      <c r="J67" s="6">
        <f t="shared" si="8"/>
        <v>0</v>
      </c>
      <c r="K67" s="6">
        <f t="shared" si="8"/>
        <v>0</v>
      </c>
      <c r="L67" s="6">
        <f t="shared" si="8"/>
        <v>0</v>
      </c>
      <c r="M67" s="6">
        <f t="shared" si="8"/>
        <v>1</v>
      </c>
      <c r="N67" s="6">
        <f t="shared" si="8"/>
        <v>0</v>
      </c>
      <c r="O67" s="6">
        <f t="shared" si="8"/>
        <v>0</v>
      </c>
      <c r="P67" s="6">
        <f t="shared" si="8"/>
        <v>0</v>
      </c>
      <c r="Q67" s="6">
        <f t="shared" si="9"/>
        <v>0</v>
      </c>
      <c r="R67" s="6">
        <f t="shared" si="9"/>
        <v>0</v>
      </c>
      <c r="S67" s="6">
        <f t="shared" si="9"/>
        <v>0</v>
      </c>
      <c r="T67" s="6">
        <f t="shared" si="9"/>
        <v>0</v>
      </c>
      <c r="U67" s="6">
        <f t="shared" si="9"/>
        <v>1</v>
      </c>
    </row>
    <row r="68" spans="1:21">
      <c r="A68" s="13">
        <v>27645</v>
      </c>
      <c r="B68" s="7">
        <f t="shared" ca="1" si="1"/>
        <v>13</v>
      </c>
      <c r="C68" s="6">
        <v>20</v>
      </c>
      <c r="D68" s="6" t="s">
        <v>18</v>
      </c>
      <c r="E68" s="6" t="s">
        <v>39</v>
      </c>
      <c r="F68" s="6">
        <f t="shared" si="2"/>
        <v>0</v>
      </c>
      <c r="G68" s="6">
        <f t="shared" si="3"/>
        <v>0</v>
      </c>
      <c r="H68" s="6">
        <f t="shared" si="4"/>
        <v>0</v>
      </c>
      <c r="I68" s="6">
        <f t="shared" si="5"/>
        <v>1</v>
      </c>
      <c r="J68" s="6">
        <f t="shared" si="8"/>
        <v>0</v>
      </c>
      <c r="K68" s="6">
        <f t="shared" si="8"/>
        <v>1</v>
      </c>
      <c r="L68" s="6">
        <f t="shared" si="8"/>
        <v>0</v>
      </c>
      <c r="M68" s="6">
        <f t="shared" si="8"/>
        <v>0</v>
      </c>
      <c r="N68" s="6">
        <f t="shared" si="8"/>
        <v>0</v>
      </c>
      <c r="O68" s="6">
        <f t="shared" si="8"/>
        <v>0</v>
      </c>
      <c r="P68" s="6">
        <f t="shared" si="8"/>
        <v>0</v>
      </c>
      <c r="Q68" s="6">
        <f t="shared" si="9"/>
        <v>0</v>
      </c>
      <c r="R68" s="6">
        <f t="shared" si="9"/>
        <v>0</v>
      </c>
      <c r="S68" s="6">
        <f t="shared" si="9"/>
        <v>1</v>
      </c>
      <c r="T68" s="6">
        <f t="shared" si="9"/>
        <v>0</v>
      </c>
      <c r="U68" s="6">
        <f t="shared" si="9"/>
        <v>0</v>
      </c>
    </row>
    <row r="69" spans="1:21">
      <c r="A69" s="13">
        <v>14358</v>
      </c>
      <c r="B69" s="7">
        <f t="shared" ca="1" si="1"/>
        <v>7</v>
      </c>
      <c r="C69" s="6">
        <v>15</v>
      </c>
      <c r="D69" s="6" t="s">
        <v>53</v>
      </c>
      <c r="E69" s="6" t="s">
        <v>60</v>
      </c>
      <c r="F69" s="6">
        <f t="shared" si="2"/>
        <v>0</v>
      </c>
      <c r="G69" s="6">
        <f t="shared" si="3"/>
        <v>1</v>
      </c>
      <c r="H69" s="6">
        <f t="shared" si="4"/>
        <v>0</v>
      </c>
      <c r="I69" s="6">
        <f t="shared" si="5"/>
        <v>0</v>
      </c>
      <c r="J69" s="6">
        <f t="shared" si="8"/>
        <v>0</v>
      </c>
      <c r="K69" s="6">
        <f t="shared" si="8"/>
        <v>0</v>
      </c>
      <c r="L69" s="6">
        <f t="shared" si="8"/>
        <v>0</v>
      </c>
      <c r="M69" s="6">
        <f t="shared" si="8"/>
        <v>0</v>
      </c>
      <c r="N69" s="6">
        <f t="shared" si="8"/>
        <v>0</v>
      </c>
      <c r="O69" s="6">
        <f t="shared" si="8"/>
        <v>0</v>
      </c>
      <c r="P69" s="6">
        <f t="shared" si="8"/>
        <v>1</v>
      </c>
      <c r="Q69" s="6">
        <f t="shared" si="9"/>
        <v>0</v>
      </c>
      <c r="R69" s="6">
        <f t="shared" si="9"/>
        <v>0</v>
      </c>
      <c r="S69" s="6">
        <f t="shared" si="9"/>
        <v>0</v>
      </c>
      <c r="T69" s="6">
        <f t="shared" si="9"/>
        <v>0</v>
      </c>
      <c r="U69" s="6">
        <f t="shared" si="9"/>
        <v>1</v>
      </c>
    </row>
    <row r="70" spans="1:21">
      <c r="A70" s="13">
        <v>27032</v>
      </c>
      <c r="B70" s="7">
        <f t="shared" ca="1" si="1"/>
        <v>6</v>
      </c>
      <c r="C70" s="6">
        <v>19</v>
      </c>
      <c r="D70" s="6" t="s">
        <v>42</v>
      </c>
      <c r="E70" s="6" t="s">
        <v>39</v>
      </c>
      <c r="F70" s="6">
        <f t="shared" si="2"/>
        <v>0</v>
      </c>
      <c r="G70" s="6">
        <f t="shared" si="3"/>
        <v>0</v>
      </c>
      <c r="H70" s="6">
        <f t="shared" si="4"/>
        <v>0</v>
      </c>
      <c r="I70" s="6">
        <f t="shared" si="5"/>
        <v>1</v>
      </c>
      <c r="J70" s="6">
        <f t="shared" si="8"/>
        <v>1</v>
      </c>
      <c r="K70" s="6">
        <f t="shared" si="8"/>
        <v>0</v>
      </c>
      <c r="L70" s="6">
        <f t="shared" si="8"/>
        <v>0</v>
      </c>
      <c r="M70" s="6">
        <f t="shared" si="8"/>
        <v>0</v>
      </c>
      <c r="N70" s="6">
        <f t="shared" si="8"/>
        <v>0</v>
      </c>
      <c r="O70" s="6">
        <f t="shared" si="8"/>
        <v>0</v>
      </c>
      <c r="P70" s="6">
        <f t="shared" si="8"/>
        <v>0</v>
      </c>
      <c r="Q70" s="6">
        <f t="shared" si="9"/>
        <v>0</v>
      </c>
      <c r="R70" s="6">
        <f t="shared" si="9"/>
        <v>0</v>
      </c>
      <c r="S70" s="6">
        <f t="shared" si="9"/>
        <v>1</v>
      </c>
      <c r="T70" s="6">
        <f t="shared" si="9"/>
        <v>0</v>
      </c>
      <c r="U70" s="6">
        <f t="shared" si="9"/>
        <v>0</v>
      </c>
    </row>
    <row r="71" spans="1:21">
      <c r="A71" s="13">
        <v>19654</v>
      </c>
      <c r="B71" s="7">
        <f t="shared" ca="1" si="1"/>
        <v>6</v>
      </c>
      <c r="C71" s="6">
        <v>10</v>
      </c>
      <c r="D71" s="6" t="s">
        <v>51</v>
      </c>
      <c r="E71" s="6" t="s">
        <v>39</v>
      </c>
      <c r="F71" s="6">
        <f t="shared" si="2"/>
        <v>1</v>
      </c>
      <c r="G71" s="6">
        <f t="shared" si="3"/>
        <v>0</v>
      </c>
      <c r="H71" s="6">
        <f t="shared" si="4"/>
        <v>0</v>
      </c>
      <c r="I71" s="6">
        <f t="shared" si="5"/>
        <v>0</v>
      </c>
      <c r="J71" s="6">
        <f t="shared" si="8"/>
        <v>0</v>
      </c>
      <c r="K71" s="6">
        <f t="shared" si="8"/>
        <v>0</v>
      </c>
      <c r="L71" s="6">
        <f t="shared" si="8"/>
        <v>0</v>
      </c>
      <c r="M71" s="6">
        <f t="shared" si="8"/>
        <v>0</v>
      </c>
      <c r="N71" s="6">
        <f t="shared" si="8"/>
        <v>0</v>
      </c>
      <c r="O71" s="6">
        <f t="shared" si="8"/>
        <v>1</v>
      </c>
      <c r="P71" s="6">
        <f t="shared" si="8"/>
        <v>0</v>
      </c>
      <c r="Q71" s="6">
        <f t="shared" si="9"/>
        <v>0</v>
      </c>
      <c r="R71" s="6">
        <f t="shared" si="9"/>
        <v>0</v>
      </c>
      <c r="S71" s="6">
        <f t="shared" si="9"/>
        <v>1</v>
      </c>
      <c r="T71" s="6">
        <f t="shared" si="9"/>
        <v>0</v>
      </c>
      <c r="U71" s="6">
        <f t="shared" si="9"/>
        <v>0</v>
      </c>
    </row>
    <row r="72" spans="1:21">
      <c r="A72" s="13">
        <v>17616</v>
      </c>
      <c r="B72" s="7">
        <f t="shared" ref="B72:B105" ca="1" si="10">INT(RANDBETWEEN(3,15))</f>
        <v>3</v>
      </c>
      <c r="C72" s="6">
        <v>10</v>
      </c>
      <c r="D72" s="6" t="s">
        <v>47</v>
      </c>
      <c r="E72" s="6" t="s">
        <v>39</v>
      </c>
      <c r="F72" s="6">
        <f t="shared" ref="F72:F105" si="11">IF(OR($C72=10, $C72=11, $C72=12), 1, 0)</f>
        <v>1</v>
      </c>
      <c r="G72" s="6">
        <f t="shared" ref="G72:G105" si="12">IF(OR($C72=13, $C72=14, $C72=15), 1, 0)</f>
        <v>0</v>
      </c>
      <c r="H72" s="6">
        <f t="shared" ref="H72:H105" si="13">IF(OR($C72=16, $C72=17, $C72=18), 1, 0)</f>
        <v>0</v>
      </c>
      <c r="I72" s="6">
        <f t="shared" ref="I72:I105" si="14">IF(OR($C72=19, $C72=20, $C72=21, $C72=22), 1, 0)</f>
        <v>0</v>
      </c>
      <c r="J72" s="6">
        <f t="shared" ref="J72:P105" si="15">IF($D72=J$6, 1, 0)</f>
        <v>0</v>
      </c>
      <c r="K72" s="6">
        <f t="shared" si="15"/>
        <v>0</v>
      </c>
      <c r="L72" s="6">
        <f t="shared" si="15"/>
        <v>0</v>
      </c>
      <c r="M72" s="6">
        <f t="shared" si="15"/>
        <v>1</v>
      </c>
      <c r="N72" s="6">
        <f t="shared" si="15"/>
        <v>0</v>
      </c>
      <c r="O72" s="6">
        <f t="shared" si="15"/>
        <v>0</v>
      </c>
      <c r="P72" s="6">
        <f t="shared" si="15"/>
        <v>0</v>
      </c>
      <c r="Q72" s="6">
        <f t="shared" ref="Q72:U105" si="16">IF($E72=Q$6, 1, 0)</f>
        <v>0</v>
      </c>
      <c r="R72" s="6">
        <f t="shared" si="16"/>
        <v>0</v>
      </c>
      <c r="S72" s="6">
        <f t="shared" si="16"/>
        <v>1</v>
      </c>
      <c r="T72" s="6">
        <f t="shared" si="16"/>
        <v>0</v>
      </c>
      <c r="U72" s="6">
        <f t="shared" si="16"/>
        <v>0</v>
      </c>
    </row>
    <row r="73" spans="1:21">
      <c r="A73" s="13">
        <v>16210</v>
      </c>
      <c r="B73" s="7">
        <f t="shared" ca="1" si="10"/>
        <v>5</v>
      </c>
      <c r="C73" s="6">
        <v>19</v>
      </c>
      <c r="D73" s="6" t="s">
        <v>45</v>
      </c>
      <c r="E73" s="6" t="s">
        <v>37</v>
      </c>
      <c r="F73" s="6">
        <f t="shared" si="11"/>
        <v>0</v>
      </c>
      <c r="G73" s="6">
        <f t="shared" si="12"/>
        <v>0</v>
      </c>
      <c r="H73" s="6">
        <f t="shared" si="13"/>
        <v>0</v>
      </c>
      <c r="I73" s="6">
        <f t="shared" si="14"/>
        <v>1</v>
      </c>
      <c r="J73" s="6">
        <f t="shared" si="15"/>
        <v>0</v>
      </c>
      <c r="K73" s="6">
        <f t="shared" si="15"/>
        <v>0</v>
      </c>
      <c r="L73" s="6">
        <f t="shared" si="15"/>
        <v>1</v>
      </c>
      <c r="M73" s="6">
        <f t="shared" si="15"/>
        <v>0</v>
      </c>
      <c r="N73" s="6">
        <f t="shared" si="15"/>
        <v>0</v>
      </c>
      <c r="O73" s="6">
        <f t="shared" si="15"/>
        <v>0</v>
      </c>
      <c r="P73" s="6">
        <f t="shared" si="15"/>
        <v>0</v>
      </c>
      <c r="Q73" s="6">
        <f t="shared" si="16"/>
        <v>0</v>
      </c>
      <c r="R73" s="6">
        <f t="shared" si="16"/>
        <v>1</v>
      </c>
      <c r="S73" s="6">
        <f t="shared" si="16"/>
        <v>0</v>
      </c>
      <c r="T73" s="6">
        <f t="shared" si="16"/>
        <v>0</v>
      </c>
      <c r="U73" s="6">
        <f t="shared" si="16"/>
        <v>0</v>
      </c>
    </row>
    <row r="74" spans="1:21">
      <c r="A74" s="13">
        <v>15195</v>
      </c>
      <c r="B74" s="7">
        <f t="shared" ca="1" si="10"/>
        <v>7</v>
      </c>
      <c r="C74" s="6">
        <v>18</v>
      </c>
      <c r="D74" s="6" t="s">
        <v>49</v>
      </c>
      <c r="E74" s="6" t="s">
        <v>60</v>
      </c>
      <c r="F74" s="6">
        <f t="shared" si="11"/>
        <v>0</v>
      </c>
      <c r="G74" s="6">
        <f t="shared" si="12"/>
        <v>0</v>
      </c>
      <c r="H74" s="6">
        <f t="shared" si="13"/>
        <v>1</v>
      </c>
      <c r="I74" s="6">
        <f t="shared" si="14"/>
        <v>0</v>
      </c>
      <c r="J74" s="6">
        <f t="shared" si="15"/>
        <v>0</v>
      </c>
      <c r="K74" s="6">
        <f t="shared" si="15"/>
        <v>0</v>
      </c>
      <c r="L74" s="6">
        <f t="shared" si="15"/>
        <v>0</v>
      </c>
      <c r="M74" s="6">
        <f t="shared" si="15"/>
        <v>0</v>
      </c>
      <c r="N74" s="6">
        <f t="shared" si="15"/>
        <v>1</v>
      </c>
      <c r="O74" s="6">
        <f t="shared" si="15"/>
        <v>0</v>
      </c>
      <c r="P74" s="6">
        <f t="shared" si="15"/>
        <v>0</v>
      </c>
      <c r="Q74" s="6">
        <f t="shared" si="16"/>
        <v>0</v>
      </c>
      <c r="R74" s="6">
        <f t="shared" si="16"/>
        <v>0</v>
      </c>
      <c r="S74" s="6">
        <f t="shared" si="16"/>
        <v>0</v>
      </c>
      <c r="T74" s="6">
        <f t="shared" si="16"/>
        <v>0</v>
      </c>
      <c r="U74" s="6">
        <f t="shared" si="16"/>
        <v>1</v>
      </c>
    </row>
    <row r="75" spans="1:21">
      <c r="A75" s="13">
        <v>12341</v>
      </c>
      <c r="B75" s="7">
        <f t="shared" ca="1" si="10"/>
        <v>3</v>
      </c>
      <c r="C75" s="6">
        <v>15</v>
      </c>
      <c r="D75" s="6" t="s">
        <v>51</v>
      </c>
      <c r="E75" s="6" t="s">
        <v>39</v>
      </c>
      <c r="F75" s="6">
        <f t="shared" si="11"/>
        <v>0</v>
      </c>
      <c r="G75" s="6">
        <f t="shared" si="12"/>
        <v>1</v>
      </c>
      <c r="H75" s="6">
        <f t="shared" si="13"/>
        <v>0</v>
      </c>
      <c r="I75" s="6">
        <f t="shared" si="14"/>
        <v>0</v>
      </c>
      <c r="J75" s="6">
        <f t="shared" si="15"/>
        <v>0</v>
      </c>
      <c r="K75" s="6">
        <f t="shared" si="15"/>
        <v>0</v>
      </c>
      <c r="L75" s="6">
        <f t="shared" si="15"/>
        <v>0</v>
      </c>
      <c r="M75" s="6">
        <f t="shared" si="15"/>
        <v>0</v>
      </c>
      <c r="N75" s="6">
        <f t="shared" si="15"/>
        <v>0</v>
      </c>
      <c r="O75" s="6">
        <f t="shared" si="15"/>
        <v>1</v>
      </c>
      <c r="P75" s="6">
        <f t="shared" si="15"/>
        <v>0</v>
      </c>
      <c r="Q75" s="6">
        <f t="shared" si="16"/>
        <v>0</v>
      </c>
      <c r="R75" s="6">
        <f t="shared" si="16"/>
        <v>0</v>
      </c>
      <c r="S75" s="6">
        <f t="shared" si="16"/>
        <v>1</v>
      </c>
      <c r="T75" s="6">
        <f t="shared" si="16"/>
        <v>0</v>
      </c>
      <c r="U75" s="6">
        <f t="shared" si="16"/>
        <v>0</v>
      </c>
    </row>
    <row r="76" spans="1:21">
      <c r="A76" s="13">
        <v>20395</v>
      </c>
      <c r="B76" s="7">
        <f t="shared" ca="1" si="10"/>
        <v>13</v>
      </c>
      <c r="C76" s="6">
        <v>12</v>
      </c>
      <c r="D76" s="6" t="s">
        <v>45</v>
      </c>
      <c r="E76" s="6" t="s">
        <v>35</v>
      </c>
      <c r="F76" s="6">
        <f t="shared" si="11"/>
        <v>1</v>
      </c>
      <c r="G76" s="6">
        <f t="shared" si="12"/>
        <v>0</v>
      </c>
      <c r="H76" s="6">
        <f t="shared" si="13"/>
        <v>0</v>
      </c>
      <c r="I76" s="6">
        <f t="shared" si="14"/>
        <v>0</v>
      </c>
      <c r="J76" s="6">
        <f t="shared" si="15"/>
        <v>0</v>
      </c>
      <c r="K76" s="6">
        <f t="shared" si="15"/>
        <v>0</v>
      </c>
      <c r="L76" s="6">
        <f t="shared" si="15"/>
        <v>1</v>
      </c>
      <c r="M76" s="6">
        <f t="shared" si="15"/>
        <v>0</v>
      </c>
      <c r="N76" s="6">
        <f t="shared" si="15"/>
        <v>0</v>
      </c>
      <c r="O76" s="6">
        <f t="shared" si="15"/>
        <v>0</v>
      </c>
      <c r="P76" s="6">
        <f t="shared" si="15"/>
        <v>0</v>
      </c>
      <c r="Q76" s="6">
        <f t="shared" si="16"/>
        <v>1</v>
      </c>
      <c r="R76" s="6">
        <f t="shared" si="16"/>
        <v>0</v>
      </c>
      <c r="S76" s="6">
        <f t="shared" si="16"/>
        <v>0</v>
      </c>
      <c r="T76" s="6">
        <f t="shared" si="16"/>
        <v>0</v>
      </c>
      <c r="U76" s="6">
        <f t="shared" si="16"/>
        <v>0</v>
      </c>
    </row>
    <row r="77" spans="1:21">
      <c r="A77" s="13">
        <v>26458</v>
      </c>
      <c r="B77" s="7">
        <f t="shared" ca="1" si="10"/>
        <v>4</v>
      </c>
      <c r="C77" s="6">
        <v>11</v>
      </c>
      <c r="D77" s="6" t="s">
        <v>49</v>
      </c>
      <c r="E77" s="6" t="s">
        <v>35</v>
      </c>
      <c r="F77" s="6">
        <f t="shared" si="11"/>
        <v>1</v>
      </c>
      <c r="G77" s="6">
        <f t="shared" si="12"/>
        <v>0</v>
      </c>
      <c r="H77" s="6">
        <f t="shared" si="13"/>
        <v>0</v>
      </c>
      <c r="I77" s="6">
        <f t="shared" si="14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1</v>
      </c>
      <c r="O77" s="6">
        <f t="shared" si="15"/>
        <v>0</v>
      </c>
      <c r="P77" s="6">
        <f t="shared" si="15"/>
        <v>0</v>
      </c>
      <c r="Q77" s="6">
        <f t="shared" si="16"/>
        <v>1</v>
      </c>
      <c r="R77" s="6">
        <f t="shared" si="16"/>
        <v>0</v>
      </c>
      <c r="S77" s="6">
        <f t="shared" si="16"/>
        <v>0</v>
      </c>
      <c r="T77" s="6">
        <f t="shared" si="16"/>
        <v>0</v>
      </c>
      <c r="U77" s="6">
        <f t="shared" si="16"/>
        <v>0</v>
      </c>
    </row>
    <row r="78" spans="1:21">
      <c r="A78" s="13">
        <v>20370</v>
      </c>
      <c r="B78" s="7">
        <f t="shared" ca="1" si="10"/>
        <v>12</v>
      </c>
      <c r="C78" s="6">
        <v>13</v>
      </c>
      <c r="D78" s="6" t="s">
        <v>51</v>
      </c>
      <c r="E78" s="6" t="s">
        <v>35</v>
      </c>
      <c r="F78" s="6">
        <f t="shared" si="11"/>
        <v>0</v>
      </c>
      <c r="G78" s="6">
        <f t="shared" si="12"/>
        <v>1</v>
      </c>
      <c r="H78" s="6">
        <f t="shared" si="13"/>
        <v>0</v>
      </c>
      <c r="I78" s="6">
        <f t="shared" si="14"/>
        <v>0</v>
      </c>
      <c r="J78" s="6">
        <f t="shared" si="15"/>
        <v>0</v>
      </c>
      <c r="K78" s="6">
        <f t="shared" si="15"/>
        <v>0</v>
      </c>
      <c r="L78" s="6">
        <f t="shared" si="15"/>
        <v>0</v>
      </c>
      <c r="M78" s="6">
        <f t="shared" si="15"/>
        <v>0</v>
      </c>
      <c r="N78" s="6">
        <f t="shared" si="15"/>
        <v>0</v>
      </c>
      <c r="O78" s="6">
        <f t="shared" si="15"/>
        <v>1</v>
      </c>
      <c r="P78" s="6">
        <f t="shared" si="15"/>
        <v>0</v>
      </c>
      <c r="Q78" s="6">
        <f t="shared" si="16"/>
        <v>1</v>
      </c>
      <c r="R78" s="6">
        <f t="shared" si="16"/>
        <v>0</v>
      </c>
      <c r="S78" s="6">
        <f t="shared" si="16"/>
        <v>0</v>
      </c>
      <c r="T78" s="6">
        <f t="shared" si="16"/>
        <v>0</v>
      </c>
      <c r="U78" s="6">
        <f t="shared" si="16"/>
        <v>0</v>
      </c>
    </row>
    <row r="79" spans="1:21">
      <c r="A79" s="13">
        <v>31663</v>
      </c>
      <c r="B79" s="7">
        <f t="shared" ca="1" si="10"/>
        <v>9</v>
      </c>
      <c r="C79" s="6">
        <v>14</v>
      </c>
      <c r="D79" s="6" t="s">
        <v>53</v>
      </c>
      <c r="E79" s="6" t="s">
        <v>35</v>
      </c>
      <c r="F79" s="6">
        <f t="shared" si="11"/>
        <v>0</v>
      </c>
      <c r="G79" s="6">
        <f t="shared" si="12"/>
        <v>1</v>
      </c>
      <c r="H79" s="6">
        <f t="shared" si="13"/>
        <v>0</v>
      </c>
      <c r="I79" s="6">
        <f t="shared" si="14"/>
        <v>0</v>
      </c>
      <c r="J79" s="6">
        <f t="shared" si="15"/>
        <v>0</v>
      </c>
      <c r="K79" s="6">
        <f t="shared" si="15"/>
        <v>0</v>
      </c>
      <c r="L79" s="6">
        <f t="shared" si="15"/>
        <v>0</v>
      </c>
      <c r="M79" s="6">
        <f t="shared" si="15"/>
        <v>0</v>
      </c>
      <c r="N79" s="6">
        <f t="shared" si="15"/>
        <v>0</v>
      </c>
      <c r="O79" s="6">
        <f t="shared" si="15"/>
        <v>0</v>
      </c>
      <c r="P79" s="6">
        <f t="shared" si="15"/>
        <v>1</v>
      </c>
      <c r="Q79" s="6">
        <f t="shared" si="16"/>
        <v>1</v>
      </c>
      <c r="R79" s="6">
        <f t="shared" si="16"/>
        <v>0</v>
      </c>
      <c r="S79" s="6">
        <f t="shared" si="16"/>
        <v>0</v>
      </c>
      <c r="T79" s="6">
        <f t="shared" si="16"/>
        <v>0</v>
      </c>
      <c r="U79" s="6">
        <f t="shared" si="16"/>
        <v>0</v>
      </c>
    </row>
    <row r="80" spans="1:21">
      <c r="A80" s="13">
        <v>14950</v>
      </c>
      <c r="B80" s="7">
        <f t="shared" ca="1" si="10"/>
        <v>12</v>
      </c>
      <c r="C80" s="6">
        <v>14</v>
      </c>
      <c r="D80" s="6" t="s">
        <v>18</v>
      </c>
      <c r="E80" s="6" t="s">
        <v>60</v>
      </c>
      <c r="F80" s="6">
        <f t="shared" si="11"/>
        <v>0</v>
      </c>
      <c r="G80" s="6">
        <f t="shared" si="12"/>
        <v>1</v>
      </c>
      <c r="H80" s="6">
        <f t="shared" si="13"/>
        <v>0</v>
      </c>
      <c r="I80" s="6">
        <f t="shared" si="14"/>
        <v>0</v>
      </c>
      <c r="J80" s="6">
        <f t="shared" si="15"/>
        <v>0</v>
      </c>
      <c r="K80" s="6">
        <f t="shared" si="15"/>
        <v>1</v>
      </c>
      <c r="L80" s="6">
        <f t="shared" si="15"/>
        <v>0</v>
      </c>
      <c r="M80" s="6">
        <f t="shared" si="15"/>
        <v>0</v>
      </c>
      <c r="N80" s="6">
        <f t="shared" si="15"/>
        <v>0</v>
      </c>
      <c r="O80" s="6">
        <f t="shared" si="15"/>
        <v>0</v>
      </c>
      <c r="P80" s="6">
        <f t="shared" si="15"/>
        <v>0</v>
      </c>
      <c r="Q80" s="6">
        <f t="shared" si="16"/>
        <v>0</v>
      </c>
      <c r="R80" s="6">
        <f t="shared" si="16"/>
        <v>0</v>
      </c>
      <c r="S80" s="6">
        <f t="shared" si="16"/>
        <v>0</v>
      </c>
      <c r="T80" s="6">
        <f t="shared" si="16"/>
        <v>0</v>
      </c>
      <c r="U80" s="6">
        <f t="shared" si="16"/>
        <v>1</v>
      </c>
    </row>
    <row r="81" spans="1:21">
      <c r="A81" s="13">
        <v>23247</v>
      </c>
      <c r="B81" s="7">
        <f t="shared" ca="1" si="10"/>
        <v>5</v>
      </c>
      <c r="C81" s="6">
        <v>20</v>
      </c>
      <c r="D81" s="6" t="s">
        <v>49</v>
      </c>
      <c r="E81" s="6" t="s">
        <v>58</v>
      </c>
      <c r="F81" s="6">
        <f t="shared" si="11"/>
        <v>0</v>
      </c>
      <c r="G81" s="6">
        <f t="shared" si="12"/>
        <v>0</v>
      </c>
      <c r="H81" s="6">
        <f t="shared" si="13"/>
        <v>0</v>
      </c>
      <c r="I81" s="6">
        <f t="shared" si="14"/>
        <v>1</v>
      </c>
      <c r="J81" s="6">
        <f t="shared" si="15"/>
        <v>0</v>
      </c>
      <c r="K81" s="6">
        <f t="shared" si="15"/>
        <v>0</v>
      </c>
      <c r="L81" s="6">
        <f t="shared" si="15"/>
        <v>0</v>
      </c>
      <c r="M81" s="6">
        <f t="shared" si="15"/>
        <v>0</v>
      </c>
      <c r="N81" s="6">
        <f t="shared" si="15"/>
        <v>1</v>
      </c>
      <c r="O81" s="6">
        <f t="shared" si="15"/>
        <v>0</v>
      </c>
      <c r="P81" s="6">
        <f t="shared" si="15"/>
        <v>0</v>
      </c>
      <c r="Q81" s="6">
        <f t="shared" si="16"/>
        <v>0</v>
      </c>
      <c r="R81" s="6">
        <f t="shared" si="16"/>
        <v>0</v>
      </c>
      <c r="S81" s="6">
        <f t="shared" si="16"/>
        <v>0</v>
      </c>
      <c r="T81" s="6">
        <f t="shared" si="16"/>
        <v>1</v>
      </c>
      <c r="U81" s="6">
        <f t="shared" si="16"/>
        <v>0</v>
      </c>
    </row>
    <row r="82" spans="1:21">
      <c r="A82" s="13">
        <v>19201</v>
      </c>
      <c r="B82" s="7">
        <f t="shared" ca="1" si="10"/>
        <v>10</v>
      </c>
      <c r="C82" s="6">
        <v>15</v>
      </c>
      <c r="D82" s="6" t="s">
        <v>42</v>
      </c>
      <c r="E82" s="6" t="s">
        <v>58</v>
      </c>
      <c r="F82" s="6">
        <f t="shared" si="11"/>
        <v>0</v>
      </c>
      <c r="G82" s="6">
        <f t="shared" si="12"/>
        <v>1</v>
      </c>
      <c r="H82" s="6">
        <f t="shared" si="13"/>
        <v>0</v>
      </c>
      <c r="I82" s="6">
        <f t="shared" si="14"/>
        <v>0</v>
      </c>
      <c r="J82" s="6">
        <f t="shared" si="15"/>
        <v>1</v>
      </c>
      <c r="K82" s="6">
        <f t="shared" si="15"/>
        <v>0</v>
      </c>
      <c r="L82" s="6">
        <f t="shared" si="15"/>
        <v>0</v>
      </c>
      <c r="M82" s="6">
        <f t="shared" si="15"/>
        <v>0</v>
      </c>
      <c r="N82" s="6">
        <f t="shared" si="15"/>
        <v>0</v>
      </c>
      <c r="O82" s="6">
        <f t="shared" si="15"/>
        <v>0</v>
      </c>
      <c r="P82" s="6">
        <f t="shared" si="15"/>
        <v>0</v>
      </c>
      <c r="Q82" s="6">
        <f t="shared" si="16"/>
        <v>0</v>
      </c>
      <c r="R82" s="6">
        <f t="shared" si="16"/>
        <v>0</v>
      </c>
      <c r="S82" s="6">
        <f t="shared" si="16"/>
        <v>0</v>
      </c>
      <c r="T82" s="6">
        <f t="shared" si="16"/>
        <v>1</v>
      </c>
      <c r="U82" s="6">
        <f t="shared" si="16"/>
        <v>0</v>
      </c>
    </row>
    <row r="83" spans="1:21">
      <c r="A83" s="13">
        <v>13986</v>
      </c>
      <c r="B83" s="7">
        <f t="shared" ca="1" si="10"/>
        <v>4</v>
      </c>
      <c r="C83" s="6">
        <v>16</v>
      </c>
      <c r="D83" s="6" t="s">
        <v>51</v>
      </c>
      <c r="E83" s="6" t="s">
        <v>39</v>
      </c>
      <c r="F83" s="6">
        <f t="shared" si="11"/>
        <v>0</v>
      </c>
      <c r="G83" s="6">
        <f t="shared" si="12"/>
        <v>0</v>
      </c>
      <c r="H83" s="6">
        <f t="shared" si="13"/>
        <v>1</v>
      </c>
      <c r="I83" s="6">
        <f t="shared" si="14"/>
        <v>0</v>
      </c>
      <c r="J83" s="6">
        <f t="shared" si="15"/>
        <v>0</v>
      </c>
      <c r="K83" s="6">
        <f t="shared" si="15"/>
        <v>0</v>
      </c>
      <c r="L83" s="6">
        <f t="shared" si="15"/>
        <v>0</v>
      </c>
      <c r="M83" s="6">
        <f t="shared" si="15"/>
        <v>0</v>
      </c>
      <c r="N83" s="6">
        <f t="shared" si="15"/>
        <v>0</v>
      </c>
      <c r="O83" s="6">
        <f t="shared" si="15"/>
        <v>1</v>
      </c>
      <c r="P83" s="6">
        <f t="shared" si="15"/>
        <v>0</v>
      </c>
      <c r="Q83" s="6">
        <f t="shared" si="16"/>
        <v>0</v>
      </c>
      <c r="R83" s="6">
        <f t="shared" si="16"/>
        <v>0</v>
      </c>
      <c r="S83" s="6">
        <f t="shared" si="16"/>
        <v>1</v>
      </c>
      <c r="T83" s="6">
        <f t="shared" si="16"/>
        <v>0</v>
      </c>
      <c r="U83" s="6">
        <f t="shared" si="16"/>
        <v>0</v>
      </c>
    </row>
    <row r="84" spans="1:21">
      <c r="A84" s="13">
        <v>8387</v>
      </c>
      <c r="B84" s="7">
        <f t="shared" ca="1" si="10"/>
        <v>8</v>
      </c>
      <c r="C84" s="6">
        <v>20</v>
      </c>
      <c r="D84" s="6" t="s">
        <v>42</v>
      </c>
      <c r="E84" s="6" t="s">
        <v>35</v>
      </c>
      <c r="F84" s="6">
        <f t="shared" si="11"/>
        <v>0</v>
      </c>
      <c r="G84" s="6">
        <f t="shared" si="12"/>
        <v>0</v>
      </c>
      <c r="H84" s="6">
        <f t="shared" si="13"/>
        <v>0</v>
      </c>
      <c r="I84" s="6">
        <f t="shared" si="14"/>
        <v>1</v>
      </c>
      <c r="J84" s="6">
        <f t="shared" si="15"/>
        <v>1</v>
      </c>
      <c r="K84" s="6">
        <f t="shared" si="15"/>
        <v>0</v>
      </c>
      <c r="L84" s="6">
        <f t="shared" si="15"/>
        <v>0</v>
      </c>
      <c r="M84" s="6">
        <f t="shared" si="15"/>
        <v>0</v>
      </c>
      <c r="N84" s="6">
        <f t="shared" si="15"/>
        <v>0</v>
      </c>
      <c r="O84" s="6">
        <f t="shared" si="15"/>
        <v>0</v>
      </c>
      <c r="P84" s="6">
        <f t="shared" si="15"/>
        <v>0</v>
      </c>
      <c r="Q84" s="6">
        <f t="shared" si="16"/>
        <v>1</v>
      </c>
      <c r="R84" s="6">
        <f t="shared" si="16"/>
        <v>0</v>
      </c>
      <c r="S84" s="6">
        <f t="shared" si="16"/>
        <v>0</v>
      </c>
      <c r="T84" s="6">
        <f t="shared" si="16"/>
        <v>0</v>
      </c>
      <c r="U84" s="6">
        <f t="shared" si="16"/>
        <v>0</v>
      </c>
    </row>
    <row r="85" spans="1:21">
      <c r="A85" s="13">
        <v>26665</v>
      </c>
      <c r="B85" s="7">
        <f t="shared" ca="1" si="10"/>
        <v>9</v>
      </c>
      <c r="C85" s="6">
        <v>15</v>
      </c>
      <c r="D85" s="6" t="s">
        <v>49</v>
      </c>
      <c r="E85" s="6" t="s">
        <v>58</v>
      </c>
      <c r="F85" s="6">
        <f t="shared" si="11"/>
        <v>0</v>
      </c>
      <c r="G85" s="6">
        <f t="shared" si="12"/>
        <v>1</v>
      </c>
      <c r="H85" s="6">
        <f t="shared" si="13"/>
        <v>0</v>
      </c>
      <c r="I85" s="6">
        <f t="shared" si="14"/>
        <v>0</v>
      </c>
      <c r="J85" s="6">
        <f t="shared" si="15"/>
        <v>0</v>
      </c>
      <c r="K85" s="6">
        <f t="shared" si="15"/>
        <v>0</v>
      </c>
      <c r="L85" s="6">
        <f t="shared" si="15"/>
        <v>0</v>
      </c>
      <c r="M85" s="6">
        <f t="shared" si="15"/>
        <v>0</v>
      </c>
      <c r="N85" s="6">
        <f t="shared" si="15"/>
        <v>1</v>
      </c>
      <c r="O85" s="6">
        <f t="shared" si="15"/>
        <v>0</v>
      </c>
      <c r="P85" s="6">
        <f t="shared" si="15"/>
        <v>0</v>
      </c>
      <c r="Q85" s="6">
        <f t="shared" si="16"/>
        <v>0</v>
      </c>
      <c r="R85" s="6">
        <f t="shared" si="16"/>
        <v>0</v>
      </c>
      <c r="S85" s="6">
        <f t="shared" si="16"/>
        <v>0</v>
      </c>
      <c r="T85" s="6">
        <f t="shared" si="16"/>
        <v>1</v>
      </c>
      <c r="U85" s="6">
        <f t="shared" si="16"/>
        <v>0</v>
      </c>
    </row>
    <row r="86" spans="1:21">
      <c r="A86" s="13">
        <v>21210</v>
      </c>
      <c r="B86" s="7">
        <f t="shared" ca="1" si="10"/>
        <v>9</v>
      </c>
      <c r="C86" s="6">
        <v>22</v>
      </c>
      <c r="D86" s="6" t="s">
        <v>18</v>
      </c>
      <c r="E86" s="6" t="s">
        <v>37</v>
      </c>
      <c r="F86" s="6">
        <f t="shared" si="11"/>
        <v>0</v>
      </c>
      <c r="G86" s="6">
        <f t="shared" si="12"/>
        <v>0</v>
      </c>
      <c r="H86" s="6">
        <f t="shared" si="13"/>
        <v>0</v>
      </c>
      <c r="I86" s="6">
        <f t="shared" si="14"/>
        <v>1</v>
      </c>
      <c r="J86" s="6">
        <f t="shared" si="15"/>
        <v>0</v>
      </c>
      <c r="K86" s="6">
        <f t="shared" si="15"/>
        <v>1</v>
      </c>
      <c r="L86" s="6">
        <f t="shared" si="15"/>
        <v>0</v>
      </c>
      <c r="M86" s="6">
        <f t="shared" si="15"/>
        <v>0</v>
      </c>
      <c r="N86" s="6">
        <f t="shared" si="15"/>
        <v>0</v>
      </c>
      <c r="O86" s="6">
        <f t="shared" si="15"/>
        <v>0</v>
      </c>
      <c r="P86" s="6">
        <f t="shared" si="15"/>
        <v>0</v>
      </c>
      <c r="Q86" s="6">
        <f t="shared" si="16"/>
        <v>0</v>
      </c>
      <c r="R86" s="6">
        <f t="shared" si="16"/>
        <v>1</v>
      </c>
      <c r="S86" s="6">
        <f t="shared" si="16"/>
        <v>0</v>
      </c>
      <c r="T86" s="6">
        <f t="shared" si="16"/>
        <v>0</v>
      </c>
      <c r="U86" s="6">
        <f t="shared" si="16"/>
        <v>0</v>
      </c>
    </row>
    <row r="87" spans="1:21">
      <c r="A87" s="13">
        <v>21681</v>
      </c>
      <c r="B87" s="7">
        <f t="shared" ca="1" si="10"/>
        <v>8</v>
      </c>
      <c r="C87" s="6">
        <v>20</v>
      </c>
      <c r="D87" s="6" t="s">
        <v>49</v>
      </c>
      <c r="E87" s="6" t="s">
        <v>37</v>
      </c>
      <c r="F87" s="6">
        <f t="shared" si="11"/>
        <v>0</v>
      </c>
      <c r="G87" s="6">
        <f t="shared" si="12"/>
        <v>0</v>
      </c>
      <c r="H87" s="6">
        <f t="shared" si="13"/>
        <v>0</v>
      </c>
      <c r="I87" s="6">
        <f t="shared" si="14"/>
        <v>1</v>
      </c>
      <c r="J87" s="6">
        <f t="shared" si="15"/>
        <v>0</v>
      </c>
      <c r="K87" s="6">
        <f t="shared" si="15"/>
        <v>0</v>
      </c>
      <c r="L87" s="6">
        <f t="shared" si="15"/>
        <v>0</v>
      </c>
      <c r="M87" s="6">
        <f t="shared" si="15"/>
        <v>0</v>
      </c>
      <c r="N87" s="6">
        <f t="shared" si="15"/>
        <v>1</v>
      </c>
      <c r="O87" s="6">
        <f t="shared" si="15"/>
        <v>0</v>
      </c>
      <c r="P87" s="6">
        <f t="shared" si="15"/>
        <v>0</v>
      </c>
      <c r="Q87" s="6">
        <f t="shared" si="16"/>
        <v>0</v>
      </c>
      <c r="R87" s="6">
        <f t="shared" si="16"/>
        <v>1</v>
      </c>
      <c r="S87" s="6">
        <f t="shared" si="16"/>
        <v>0</v>
      </c>
      <c r="T87" s="6">
        <f t="shared" si="16"/>
        <v>0</v>
      </c>
      <c r="U87" s="6">
        <f t="shared" si="16"/>
        <v>0</v>
      </c>
    </row>
    <row r="88" spans="1:21">
      <c r="A88" s="13">
        <v>19325</v>
      </c>
      <c r="B88" s="7">
        <f t="shared" ca="1" si="10"/>
        <v>15</v>
      </c>
      <c r="C88" s="6">
        <v>15</v>
      </c>
      <c r="D88" s="6" t="s">
        <v>53</v>
      </c>
      <c r="E88" s="6" t="s">
        <v>37</v>
      </c>
      <c r="F88" s="6">
        <f t="shared" si="11"/>
        <v>0</v>
      </c>
      <c r="G88" s="6">
        <f t="shared" si="12"/>
        <v>1</v>
      </c>
      <c r="H88" s="6">
        <f t="shared" si="13"/>
        <v>0</v>
      </c>
      <c r="I88" s="6">
        <f t="shared" si="14"/>
        <v>0</v>
      </c>
      <c r="J88" s="6">
        <f t="shared" si="15"/>
        <v>0</v>
      </c>
      <c r="K88" s="6">
        <f t="shared" si="15"/>
        <v>0</v>
      </c>
      <c r="L88" s="6">
        <f t="shared" si="15"/>
        <v>0</v>
      </c>
      <c r="M88" s="6">
        <f t="shared" si="15"/>
        <v>0</v>
      </c>
      <c r="N88" s="6">
        <f t="shared" si="15"/>
        <v>0</v>
      </c>
      <c r="O88" s="6">
        <f t="shared" si="15"/>
        <v>0</v>
      </c>
      <c r="P88" s="6">
        <f t="shared" si="15"/>
        <v>1</v>
      </c>
      <c r="Q88" s="6">
        <f t="shared" si="16"/>
        <v>0</v>
      </c>
      <c r="R88" s="6">
        <f t="shared" si="16"/>
        <v>1</v>
      </c>
      <c r="S88" s="6">
        <f t="shared" si="16"/>
        <v>0</v>
      </c>
      <c r="T88" s="6">
        <f t="shared" si="16"/>
        <v>0</v>
      </c>
      <c r="U88" s="6">
        <f t="shared" si="16"/>
        <v>0</v>
      </c>
    </row>
    <row r="89" spans="1:21">
      <c r="A89" s="13">
        <v>18481</v>
      </c>
      <c r="B89" s="7">
        <f t="shared" ca="1" si="10"/>
        <v>11</v>
      </c>
      <c r="C89" s="6">
        <v>16</v>
      </c>
      <c r="D89" s="6" t="s">
        <v>49</v>
      </c>
      <c r="E89" s="6" t="s">
        <v>58</v>
      </c>
      <c r="F89" s="6">
        <f t="shared" si="11"/>
        <v>0</v>
      </c>
      <c r="G89" s="6">
        <f t="shared" si="12"/>
        <v>0</v>
      </c>
      <c r="H89" s="6">
        <f t="shared" si="13"/>
        <v>1</v>
      </c>
      <c r="I89" s="6">
        <f t="shared" si="14"/>
        <v>0</v>
      </c>
      <c r="J89" s="6">
        <f t="shared" si="15"/>
        <v>0</v>
      </c>
      <c r="K89" s="6">
        <f t="shared" si="15"/>
        <v>0</v>
      </c>
      <c r="L89" s="6">
        <f t="shared" si="15"/>
        <v>0</v>
      </c>
      <c r="M89" s="6">
        <f t="shared" si="15"/>
        <v>0</v>
      </c>
      <c r="N89" s="6">
        <f t="shared" si="15"/>
        <v>1</v>
      </c>
      <c r="O89" s="6">
        <f t="shared" si="15"/>
        <v>0</v>
      </c>
      <c r="P89" s="6">
        <f t="shared" si="15"/>
        <v>0</v>
      </c>
      <c r="Q89" s="6">
        <f t="shared" si="16"/>
        <v>0</v>
      </c>
      <c r="R89" s="6">
        <f t="shared" si="16"/>
        <v>0</v>
      </c>
      <c r="S89" s="6">
        <f t="shared" si="16"/>
        <v>0</v>
      </c>
      <c r="T89" s="6">
        <f t="shared" si="16"/>
        <v>1</v>
      </c>
      <c r="U89" s="6">
        <f t="shared" si="16"/>
        <v>0</v>
      </c>
    </row>
    <row r="90" spans="1:21">
      <c r="A90" s="13">
        <v>17270</v>
      </c>
      <c r="B90" s="7">
        <f t="shared" ca="1" si="10"/>
        <v>8</v>
      </c>
      <c r="C90" s="6">
        <v>19</v>
      </c>
      <c r="D90" s="6" t="s">
        <v>47</v>
      </c>
      <c r="E90" s="6" t="s">
        <v>58</v>
      </c>
      <c r="F90" s="6">
        <f t="shared" si="11"/>
        <v>0</v>
      </c>
      <c r="G90" s="6">
        <f t="shared" si="12"/>
        <v>0</v>
      </c>
      <c r="H90" s="6">
        <f t="shared" si="13"/>
        <v>0</v>
      </c>
      <c r="I90" s="6">
        <f t="shared" si="14"/>
        <v>1</v>
      </c>
      <c r="J90" s="6">
        <f t="shared" si="15"/>
        <v>0</v>
      </c>
      <c r="K90" s="6">
        <f t="shared" si="15"/>
        <v>0</v>
      </c>
      <c r="L90" s="6">
        <f t="shared" si="15"/>
        <v>0</v>
      </c>
      <c r="M90" s="6">
        <f t="shared" si="15"/>
        <v>1</v>
      </c>
      <c r="N90" s="6">
        <f t="shared" si="15"/>
        <v>0</v>
      </c>
      <c r="O90" s="6">
        <f t="shared" si="15"/>
        <v>0</v>
      </c>
      <c r="P90" s="6">
        <f t="shared" si="15"/>
        <v>0</v>
      </c>
      <c r="Q90" s="6">
        <f t="shared" si="16"/>
        <v>0</v>
      </c>
      <c r="R90" s="6">
        <f t="shared" si="16"/>
        <v>0</v>
      </c>
      <c r="S90" s="6">
        <f t="shared" si="16"/>
        <v>0</v>
      </c>
      <c r="T90" s="6">
        <f t="shared" si="16"/>
        <v>1</v>
      </c>
      <c r="U90" s="6">
        <f t="shared" si="16"/>
        <v>0</v>
      </c>
    </row>
    <row r="91" spans="1:21">
      <c r="A91" s="13">
        <v>9414</v>
      </c>
      <c r="B91" s="7">
        <f t="shared" ca="1" si="10"/>
        <v>15</v>
      </c>
      <c r="C91" s="6">
        <v>15</v>
      </c>
      <c r="D91" s="6" t="s">
        <v>53</v>
      </c>
      <c r="E91" s="6" t="s">
        <v>35</v>
      </c>
      <c r="F91" s="6">
        <f t="shared" si="11"/>
        <v>0</v>
      </c>
      <c r="G91" s="6">
        <f t="shared" si="12"/>
        <v>1</v>
      </c>
      <c r="H91" s="6">
        <f t="shared" si="13"/>
        <v>0</v>
      </c>
      <c r="I91" s="6">
        <f t="shared" si="14"/>
        <v>0</v>
      </c>
      <c r="J91" s="6">
        <f t="shared" si="15"/>
        <v>0</v>
      </c>
      <c r="K91" s="6">
        <f t="shared" si="15"/>
        <v>0</v>
      </c>
      <c r="L91" s="6">
        <f t="shared" si="15"/>
        <v>0</v>
      </c>
      <c r="M91" s="6">
        <f t="shared" si="15"/>
        <v>0</v>
      </c>
      <c r="N91" s="6">
        <f t="shared" si="15"/>
        <v>0</v>
      </c>
      <c r="O91" s="6">
        <f t="shared" si="15"/>
        <v>0</v>
      </c>
      <c r="P91" s="6">
        <f t="shared" si="15"/>
        <v>1</v>
      </c>
      <c r="Q91" s="6">
        <f t="shared" si="16"/>
        <v>1</v>
      </c>
      <c r="R91" s="6">
        <f t="shared" si="16"/>
        <v>0</v>
      </c>
      <c r="S91" s="6">
        <f t="shared" si="16"/>
        <v>0</v>
      </c>
      <c r="T91" s="6">
        <f t="shared" si="16"/>
        <v>0</v>
      </c>
      <c r="U91" s="6">
        <f t="shared" si="16"/>
        <v>0</v>
      </c>
    </row>
    <row r="92" spans="1:21">
      <c r="A92" s="13">
        <v>13830</v>
      </c>
      <c r="B92" s="7">
        <f t="shared" ca="1" si="10"/>
        <v>15</v>
      </c>
      <c r="C92" s="6">
        <v>19</v>
      </c>
      <c r="D92" s="6" t="s">
        <v>42</v>
      </c>
      <c r="E92" s="6" t="s">
        <v>60</v>
      </c>
      <c r="F92" s="6">
        <f t="shared" si="11"/>
        <v>0</v>
      </c>
      <c r="G92" s="6">
        <f t="shared" si="12"/>
        <v>0</v>
      </c>
      <c r="H92" s="6">
        <f t="shared" si="13"/>
        <v>0</v>
      </c>
      <c r="I92" s="6">
        <f t="shared" si="14"/>
        <v>1</v>
      </c>
      <c r="J92" s="6">
        <f t="shared" si="15"/>
        <v>1</v>
      </c>
      <c r="K92" s="6">
        <f t="shared" si="15"/>
        <v>0</v>
      </c>
      <c r="L92" s="6">
        <f t="shared" si="15"/>
        <v>0</v>
      </c>
      <c r="M92" s="6">
        <f t="shared" si="15"/>
        <v>0</v>
      </c>
      <c r="N92" s="6">
        <f t="shared" si="15"/>
        <v>0</v>
      </c>
      <c r="O92" s="6">
        <f t="shared" si="15"/>
        <v>0</v>
      </c>
      <c r="P92" s="6">
        <f t="shared" si="15"/>
        <v>0</v>
      </c>
      <c r="Q92" s="6">
        <f t="shared" si="16"/>
        <v>0</v>
      </c>
      <c r="R92" s="6">
        <f t="shared" si="16"/>
        <v>0</v>
      </c>
      <c r="S92" s="6">
        <f t="shared" si="16"/>
        <v>0</v>
      </c>
      <c r="T92" s="6">
        <f t="shared" si="16"/>
        <v>0</v>
      </c>
      <c r="U92" s="6">
        <f t="shared" si="16"/>
        <v>1</v>
      </c>
    </row>
    <row r="93" spans="1:21">
      <c r="A93" s="13">
        <v>12973</v>
      </c>
      <c r="B93" s="7">
        <f t="shared" ca="1" si="10"/>
        <v>4</v>
      </c>
      <c r="C93" s="6">
        <v>10</v>
      </c>
      <c r="D93" s="6" t="s">
        <v>45</v>
      </c>
      <c r="E93" s="6" t="s">
        <v>60</v>
      </c>
      <c r="F93" s="6">
        <f t="shared" si="11"/>
        <v>1</v>
      </c>
      <c r="G93" s="6">
        <f t="shared" si="12"/>
        <v>0</v>
      </c>
      <c r="H93" s="6">
        <f t="shared" si="13"/>
        <v>0</v>
      </c>
      <c r="I93" s="6">
        <f t="shared" si="14"/>
        <v>0</v>
      </c>
      <c r="J93" s="6">
        <f t="shared" si="15"/>
        <v>0</v>
      </c>
      <c r="K93" s="6">
        <f t="shared" si="15"/>
        <v>0</v>
      </c>
      <c r="L93" s="6">
        <f t="shared" si="15"/>
        <v>1</v>
      </c>
      <c r="M93" s="6">
        <f t="shared" si="15"/>
        <v>0</v>
      </c>
      <c r="N93" s="6">
        <f t="shared" si="15"/>
        <v>0</v>
      </c>
      <c r="O93" s="6">
        <f t="shared" si="15"/>
        <v>0</v>
      </c>
      <c r="P93" s="6">
        <f t="shared" si="15"/>
        <v>0</v>
      </c>
      <c r="Q93" s="6">
        <f t="shared" si="16"/>
        <v>0</v>
      </c>
      <c r="R93" s="6">
        <f t="shared" si="16"/>
        <v>0</v>
      </c>
      <c r="S93" s="6">
        <f t="shared" si="16"/>
        <v>0</v>
      </c>
      <c r="T93" s="6">
        <f t="shared" si="16"/>
        <v>0</v>
      </c>
      <c r="U93" s="6">
        <f t="shared" si="16"/>
        <v>1</v>
      </c>
    </row>
    <row r="94" spans="1:21">
      <c r="A94" s="13">
        <v>17286</v>
      </c>
      <c r="B94" s="7">
        <f t="shared" ca="1" si="10"/>
        <v>10</v>
      </c>
      <c r="C94" s="6">
        <v>13</v>
      </c>
      <c r="D94" s="6" t="s">
        <v>47</v>
      </c>
      <c r="E94" s="6" t="s">
        <v>60</v>
      </c>
      <c r="F94" s="6">
        <f t="shared" si="11"/>
        <v>0</v>
      </c>
      <c r="G94" s="6">
        <f t="shared" si="12"/>
        <v>1</v>
      </c>
      <c r="H94" s="6">
        <f t="shared" si="13"/>
        <v>0</v>
      </c>
      <c r="I94" s="6">
        <f t="shared" si="14"/>
        <v>0</v>
      </c>
      <c r="J94" s="6">
        <f t="shared" si="15"/>
        <v>0</v>
      </c>
      <c r="K94" s="6">
        <f t="shared" si="15"/>
        <v>0</v>
      </c>
      <c r="L94" s="6">
        <f t="shared" si="15"/>
        <v>0</v>
      </c>
      <c r="M94" s="6">
        <f t="shared" si="15"/>
        <v>1</v>
      </c>
      <c r="N94" s="6">
        <f t="shared" si="15"/>
        <v>0</v>
      </c>
      <c r="O94" s="6">
        <f t="shared" si="15"/>
        <v>0</v>
      </c>
      <c r="P94" s="6">
        <f t="shared" si="15"/>
        <v>0</v>
      </c>
      <c r="Q94" s="6">
        <f t="shared" si="16"/>
        <v>0</v>
      </c>
      <c r="R94" s="6">
        <f t="shared" si="16"/>
        <v>0</v>
      </c>
      <c r="S94" s="6">
        <f t="shared" si="16"/>
        <v>0</v>
      </c>
      <c r="T94" s="6">
        <f t="shared" si="16"/>
        <v>0</v>
      </c>
      <c r="U94" s="6">
        <f t="shared" si="16"/>
        <v>1</v>
      </c>
    </row>
    <row r="95" spans="1:21">
      <c r="A95" s="13">
        <v>34067</v>
      </c>
      <c r="B95" s="7">
        <f t="shared" ca="1" si="10"/>
        <v>11</v>
      </c>
      <c r="C95" s="6">
        <v>13</v>
      </c>
      <c r="D95" s="6" t="s">
        <v>53</v>
      </c>
      <c r="E95" s="6" t="s">
        <v>37</v>
      </c>
      <c r="F95" s="6">
        <f t="shared" si="11"/>
        <v>0</v>
      </c>
      <c r="G95" s="6">
        <f t="shared" si="12"/>
        <v>1</v>
      </c>
      <c r="H95" s="6">
        <f t="shared" si="13"/>
        <v>0</v>
      </c>
      <c r="I95" s="6">
        <f t="shared" si="14"/>
        <v>0</v>
      </c>
      <c r="J95" s="6">
        <f t="shared" si="15"/>
        <v>0</v>
      </c>
      <c r="K95" s="6">
        <f t="shared" si="15"/>
        <v>0</v>
      </c>
      <c r="L95" s="6">
        <f t="shared" si="15"/>
        <v>0</v>
      </c>
      <c r="M95" s="6">
        <f t="shared" si="15"/>
        <v>0</v>
      </c>
      <c r="N95" s="6">
        <f t="shared" si="15"/>
        <v>0</v>
      </c>
      <c r="O95" s="6">
        <f t="shared" si="15"/>
        <v>0</v>
      </c>
      <c r="P95" s="6">
        <f t="shared" si="15"/>
        <v>1</v>
      </c>
      <c r="Q95" s="6">
        <f t="shared" si="16"/>
        <v>0</v>
      </c>
      <c r="R95" s="6">
        <f t="shared" si="16"/>
        <v>1</v>
      </c>
      <c r="S95" s="6">
        <f t="shared" si="16"/>
        <v>0</v>
      </c>
      <c r="T95" s="6">
        <f t="shared" si="16"/>
        <v>0</v>
      </c>
      <c r="U95" s="6">
        <f t="shared" si="16"/>
        <v>0</v>
      </c>
    </row>
    <row r="96" spans="1:21">
      <c r="A96" s="13">
        <v>10860</v>
      </c>
      <c r="B96" s="7">
        <f t="shared" ca="1" si="10"/>
        <v>9</v>
      </c>
      <c r="C96" s="6">
        <v>15</v>
      </c>
      <c r="D96" s="6" t="s">
        <v>42</v>
      </c>
      <c r="E96" s="6" t="s">
        <v>35</v>
      </c>
      <c r="F96" s="6">
        <f t="shared" si="11"/>
        <v>0</v>
      </c>
      <c r="G96" s="6">
        <f t="shared" si="12"/>
        <v>1</v>
      </c>
      <c r="H96" s="6">
        <f t="shared" si="13"/>
        <v>0</v>
      </c>
      <c r="I96" s="6">
        <f t="shared" si="14"/>
        <v>0</v>
      </c>
      <c r="J96" s="6">
        <f t="shared" si="15"/>
        <v>1</v>
      </c>
      <c r="K96" s="6">
        <f t="shared" si="15"/>
        <v>0</v>
      </c>
      <c r="L96" s="6">
        <f t="shared" si="15"/>
        <v>0</v>
      </c>
      <c r="M96" s="6">
        <f t="shared" si="15"/>
        <v>0</v>
      </c>
      <c r="N96" s="6">
        <f t="shared" si="15"/>
        <v>0</v>
      </c>
      <c r="O96" s="6">
        <f t="shared" si="15"/>
        <v>0</v>
      </c>
      <c r="P96" s="6">
        <f t="shared" si="15"/>
        <v>0</v>
      </c>
      <c r="Q96" s="6">
        <f t="shared" si="16"/>
        <v>1</v>
      </c>
      <c r="R96" s="6">
        <f t="shared" si="16"/>
        <v>0</v>
      </c>
      <c r="S96" s="6">
        <f t="shared" si="16"/>
        <v>0</v>
      </c>
      <c r="T96" s="6">
        <f t="shared" si="16"/>
        <v>0</v>
      </c>
      <c r="U96" s="6">
        <f t="shared" si="16"/>
        <v>0</v>
      </c>
    </row>
    <row r="97" spans="1:21">
      <c r="A97" s="13">
        <v>25515</v>
      </c>
      <c r="B97" s="7">
        <f t="shared" ca="1" si="10"/>
        <v>7</v>
      </c>
      <c r="C97" s="6">
        <v>12</v>
      </c>
      <c r="D97" s="6" t="s">
        <v>18</v>
      </c>
      <c r="E97" s="6" t="s">
        <v>39</v>
      </c>
      <c r="F97" s="6">
        <f t="shared" si="11"/>
        <v>1</v>
      </c>
      <c r="G97" s="6">
        <f t="shared" si="12"/>
        <v>0</v>
      </c>
      <c r="H97" s="6">
        <f t="shared" si="13"/>
        <v>0</v>
      </c>
      <c r="I97" s="6">
        <f t="shared" si="14"/>
        <v>0</v>
      </c>
      <c r="J97" s="6">
        <f t="shared" si="15"/>
        <v>0</v>
      </c>
      <c r="K97" s="6">
        <f t="shared" si="15"/>
        <v>1</v>
      </c>
      <c r="L97" s="6">
        <f t="shared" si="15"/>
        <v>0</v>
      </c>
      <c r="M97" s="6">
        <f t="shared" si="15"/>
        <v>0</v>
      </c>
      <c r="N97" s="6">
        <f t="shared" si="15"/>
        <v>0</v>
      </c>
      <c r="O97" s="6">
        <f t="shared" si="15"/>
        <v>0</v>
      </c>
      <c r="P97" s="6">
        <f t="shared" si="15"/>
        <v>0</v>
      </c>
      <c r="Q97" s="6">
        <f t="shared" si="16"/>
        <v>0</v>
      </c>
      <c r="R97" s="6">
        <f t="shared" si="16"/>
        <v>0</v>
      </c>
      <c r="S97" s="6">
        <f t="shared" si="16"/>
        <v>1</v>
      </c>
      <c r="T97" s="6">
        <f t="shared" si="16"/>
        <v>0</v>
      </c>
      <c r="U97" s="6">
        <f t="shared" si="16"/>
        <v>0</v>
      </c>
    </row>
    <row r="98" spans="1:21">
      <c r="A98" s="13">
        <v>27493</v>
      </c>
      <c r="B98" s="7">
        <f t="shared" ca="1" si="10"/>
        <v>6</v>
      </c>
      <c r="C98" s="6">
        <v>10</v>
      </c>
      <c r="D98" s="6" t="s">
        <v>47</v>
      </c>
      <c r="E98" s="6" t="s">
        <v>35</v>
      </c>
      <c r="F98" s="6">
        <f t="shared" si="11"/>
        <v>1</v>
      </c>
      <c r="G98" s="6">
        <f t="shared" si="12"/>
        <v>0</v>
      </c>
      <c r="H98" s="6">
        <f t="shared" si="13"/>
        <v>0</v>
      </c>
      <c r="I98" s="6">
        <f t="shared" si="14"/>
        <v>0</v>
      </c>
      <c r="J98" s="6">
        <f t="shared" si="15"/>
        <v>0</v>
      </c>
      <c r="K98" s="6">
        <f t="shared" si="15"/>
        <v>0</v>
      </c>
      <c r="L98" s="6">
        <f t="shared" si="15"/>
        <v>0</v>
      </c>
      <c r="M98" s="6">
        <f t="shared" si="15"/>
        <v>1</v>
      </c>
      <c r="N98" s="6">
        <f t="shared" si="15"/>
        <v>0</v>
      </c>
      <c r="O98" s="6">
        <f t="shared" si="15"/>
        <v>0</v>
      </c>
      <c r="P98" s="6">
        <f t="shared" si="15"/>
        <v>0</v>
      </c>
      <c r="Q98" s="6">
        <f t="shared" si="16"/>
        <v>1</v>
      </c>
      <c r="R98" s="6">
        <f t="shared" si="16"/>
        <v>0</v>
      </c>
      <c r="S98" s="6">
        <f t="shared" si="16"/>
        <v>0</v>
      </c>
      <c r="T98" s="6">
        <f t="shared" si="16"/>
        <v>0</v>
      </c>
      <c r="U98" s="6">
        <f t="shared" si="16"/>
        <v>0</v>
      </c>
    </row>
    <row r="99" spans="1:21">
      <c r="A99" s="13">
        <v>11415</v>
      </c>
      <c r="B99" s="7">
        <f t="shared" ca="1" si="10"/>
        <v>10</v>
      </c>
      <c r="C99" s="6">
        <v>20</v>
      </c>
      <c r="D99" s="6" t="s">
        <v>45</v>
      </c>
      <c r="E99" s="6" t="s">
        <v>35</v>
      </c>
      <c r="F99" s="6">
        <f t="shared" si="11"/>
        <v>0</v>
      </c>
      <c r="G99" s="6">
        <f t="shared" si="12"/>
        <v>0</v>
      </c>
      <c r="H99" s="6">
        <f t="shared" si="13"/>
        <v>0</v>
      </c>
      <c r="I99" s="6">
        <f t="shared" si="14"/>
        <v>1</v>
      </c>
      <c r="J99" s="6">
        <f t="shared" si="15"/>
        <v>0</v>
      </c>
      <c r="K99" s="6">
        <f t="shared" si="15"/>
        <v>0</v>
      </c>
      <c r="L99" s="6">
        <f t="shared" si="15"/>
        <v>1</v>
      </c>
      <c r="M99" s="6">
        <f t="shared" si="15"/>
        <v>0</v>
      </c>
      <c r="N99" s="6">
        <f t="shared" si="15"/>
        <v>0</v>
      </c>
      <c r="O99" s="6">
        <f t="shared" si="15"/>
        <v>0</v>
      </c>
      <c r="P99" s="6">
        <f t="shared" si="15"/>
        <v>0</v>
      </c>
      <c r="Q99" s="6">
        <f t="shared" si="16"/>
        <v>1</v>
      </c>
      <c r="R99" s="6">
        <f t="shared" si="16"/>
        <v>0</v>
      </c>
      <c r="S99" s="6">
        <f t="shared" si="16"/>
        <v>0</v>
      </c>
      <c r="T99" s="6">
        <f t="shared" si="16"/>
        <v>0</v>
      </c>
      <c r="U99" s="6">
        <f t="shared" si="16"/>
        <v>0</v>
      </c>
    </row>
    <row r="100" spans="1:21">
      <c r="A100" s="13">
        <v>14319</v>
      </c>
      <c r="B100" s="7">
        <f t="shared" ca="1" si="10"/>
        <v>6</v>
      </c>
      <c r="C100" s="6">
        <v>16</v>
      </c>
      <c r="D100" s="6" t="s">
        <v>42</v>
      </c>
      <c r="E100" s="6" t="s">
        <v>39</v>
      </c>
      <c r="F100" s="6">
        <f t="shared" si="11"/>
        <v>0</v>
      </c>
      <c r="G100" s="6">
        <f t="shared" si="12"/>
        <v>0</v>
      </c>
      <c r="H100" s="6">
        <f t="shared" si="13"/>
        <v>1</v>
      </c>
      <c r="I100" s="6">
        <f t="shared" si="14"/>
        <v>0</v>
      </c>
      <c r="J100" s="6">
        <f t="shared" si="15"/>
        <v>1</v>
      </c>
      <c r="K100" s="6">
        <f t="shared" si="15"/>
        <v>0</v>
      </c>
      <c r="L100" s="6">
        <f t="shared" si="15"/>
        <v>0</v>
      </c>
      <c r="M100" s="6">
        <f t="shared" si="15"/>
        <v>0</v>
      </c>
      <c r="N100" s="6">
        <f t="shared" si="15"/>
        <v>0</v>
      </c>
      <c r="O100" s="6">
        <f t="shared" si="15"/>
        <v>0</v>
      </c>
      <c r="P100" s="6">
        <f t="shared" si="15"/>
        <v>0</v>
      </c>
      <c r="Q100" s="6">
        <f t="shared" si="16"/>
        <v>0</v>
      </c>
      <c r="R100" s="6">
        <f t="shared" si="16"/>
        <v>0</v>
      </c>
      <c r="S100" s="6">
        <f t="shared" si="16"/>
        <v>1</v>
      </c>
      <c r="T100" s="6">
        <f t="shared" si="16"/>
        <v>0</v>
      </c>
      <c r="U100" s="6">
        <f t="shared" si="16"/>
        <v>0</v>
      </c>
    </row>
    <row r="101" spans="1:21">
      <c r="A101" s="13">
        <v>29863</v>
      </c>
      <c r="B101" s="7">
        <f t="shared" ca="1" si="10"/>
        <v>5</v>
      </c>
      <c r="C101" s="6">
        <v>13</v>
      </c>
      <c r="D101" s="6" t="s">
        <v>47</v>
      </c>
      <c r="E101" s="6" t="s">
        <v>35</v>
      </c>
      <c r="F101" s="6">
        <f t="shared" si="11"/>
        <v>0</v>
      </c>
      <c r="G101" s="6">
        <f t="shared" si="12"/>
        <v>1</v>
      </c>
      <c r="H101" s="6">
        <f t="shared" si="13"/>
        <v>0</v>
      </c>
      <c r="I101" s="6">
        <f t="shared" si="14"/>
        <v>0</v>
      </c>
      <c r="J101" s="6">
        <f t="shared" si="15"/>
        <v>0</v>
      </c>
      <c r="K101" s="6">
        <f t="shared" si="15"/>
        <v>0</v>
      </c>
      <c r="L101" s="6">
        <f t="shared" si="15"/>
        <v>0</v>
      </c>
      <c r="M101" s="6">
        <f t="shared" si="15"/>
        <v>1</v>
      </c>
      <c r="N101" s="6">
        <f t="shared" si="15"/>
        <v>0</v>
      </c>
      <c r="O101" s="6">
        <f t="shared" si="15"/>
        <v>0</v>
      </c>
      <c r="P101" s="6">
        <f t="shared" si="15"/>
        <v>0</v>
      </c>
      <c r="Q101" s="6">
        <f t="shared" si="16"/>
        <v>1</v>
      </c>
      <c r="R101" s="6">
        <f t="shared" si="16"/>
        <v>0</v>
      </c>
      <c r="S101" s="6">
        <f t="shared" si="16"/>
        <v>0</v>
      </c>
      <c r="T101" s="6">
        <f t="shared" si="16"/>
        <v>0</v>
      </c>
      <c r="U101" s="6">
        <f t="shared" si="16"/>
        <v>0</v>
      </c>
    </row>
    <row r="102" spans="1:21">
      <c r="A102" s="13">
        <v>9930</v>
      </c>
      <c r="B102" s="7">
        <f t="shared" ca="1" si="10"/>
        <v>11</v>
      </c>
      <c r="C102" s="6">
        <v>18</v>
      </c>
      <c r="D102" s="6" t="s">
        <v>18</v>
      </c>
      <c r="E102" s="6" t="s">
        <v>60</v>
      </c>
      <c r="F102" s="6">
        <f t="shared" si="11"/>
        <v>0</v>
      </c>
      <c r="G102" s="6">
        <f t="shared" si="12"/>
        <v>0</v>
      </c>
      <c r="H102" s="6">
        <f t="shared" si="13"/>
        <v>1</v>
      </c>
      <c r="I102" s="6">
        <f t="shared" si="14"/>
        <v>0</v>
      </c>
      <c r="J102" s="6">
        <f t="shared" si="15"/>
        <v>0</v>
      </c>
      <c r="K102" s="6">
        <f t="shared" si="15"/>
        <v>1</v>
      </c>
      <c r="L102" s="6">
        <f t="shared" si="15"/>
        <v>0</v>
      </c>
      <c r="M102" s="6">
        <f t="shared" si="15"/>
        <v>0</v>
      </c>
      <c r="N102" s="6">
        <f t="shared" si="15"/>
        <v>0</v>
      </c>
      <c r="O102" s="6">
        <f t="shared" si="15"/>
        <v>0</v>
      </c>
      <c r="P102" s="6">
        <f t="shared" si="15"/>
        <v>0</v>
      </c>
      <c r="Q102" s="6">
        <f t="shared" si="16"/>
        <v>0</v>
      </c>
      <c r="R102" s="6">
        <f t="shared" si="16"/>
        <v>0</v>
      </c>
      <c r="S102" s="6">
        <f t="shared" si="16"/>
        <v>0</v>
      </c>
      <c r="T102" s="6">
        <f t="shared" si="16"/>
        <v>0</v>
      </c>
      <c r="U102" s="6">
        <f t="shared" si="16"/>
        <v>1</v>
      </c>
    </row>
    <row r="103" spans="1:21">
      <c r="A103" s="13">
        <v>21577</v>
      </c>
      <c r="B103" s="7">
        <f t="shared" ca="1" si="10"/>
        <v>6</v>
      </c>
      <c r="C103" s="6">
        <v>12</v>
      </c>
      <c r="D103" s="6" t="s">
        <v>49</v>
      </c>
      <c r="E103" s="6" t="s">
        <v>39</v>
      </c>
      <c r="F103" s="6">
        <f t="shared" si="11"/>
        <v>1</v>
      </c>
      <c r="G103" s="6">
        <f t="shared" si="12"/>
        <v>0</v>
      </c>
      <c r="H103" s="6">
        <f t="shared" si="13"/>
        <v>0</v>
      </c>
      <c r="I103" s="6">
        <f t="shared" si="14"/>
        <v>0</v>
      </c>
      <c r="J103" s="6">
        <f t="shared" si="15"/>
        <v>0</v>
      </c>
      <c r="K103" s="6">
        <f t="shared" si="15"/>
        <v>0</v>
      </c>
      <c r="L103" s="6">
        <f t="shared" si="15"/>
        <v>0</v>
      </c>
      <c r="M103" s="6">
        <f t="shared" si="15"/>
        <v>0</v>
      </c>
      <c r="N103" s="6">
        <f t="shared" si="15"/>
        <v>1</v>
      </c>
      <c r="O103" s="6">
        <f t="shared" si="15"/>
        <v>0</v>
      </c>
      <c r="P103" s="6">
        <f t="shared" si="15"/>
        <v>0</v>
      </c>
      <c r="Q103" s="6">
        <f t="shared" si="16"/>
        <v>0</v>
      </c>
      <c r="R103" s="6">
        <f t="shared" si="16"/>
        <v>0</v>
      </c>
      <c r="S103" s="6">
        <f t="shared" si="16"/>
        <v>1</v>
      </c>
      <c r="T103" s="6">
        <f t="shared" si="16"/>
        <v>0</v>
      </c>
      <c r="U103" s="6">
        <f t="shared" si="16"/>
        <v>0</v>
      </c>
    </row>
    <row r="104" spans="1:21">
      <c r="A104" s="13">
        <v>7632</v>
      </c>
      <c r="B104" s="7">
        <f t="shared" ca="1" si="10"/>
        <v>5</v>
      </c>
      <c r="C104" s="6">
        <v>11</v>
      </c>
      <c r="D104" s="6" t="s">
        <v>47</v>
      </c>
      <c r="E104" s="6" t="s">
        <v>37</v>
      </c>
      <c r="F104" s="6">
        <f t="shared" si="11"/>
        <v>1</v>
      </c>
      <c r="G104" s="6">
        <f t="shared" si="12"/>
        <v>0</v>
      </c>
      <c r="H104" s="6">
        <f t="shared" si="13"/>
        <v>0</v>
      </c>
      <c r="I104" s="6">
        <f t="shared" si="14"/>
        <v>0</v>
      </c>
      <c r="J104" s="6">
        <f t="shared" si="15"/>
        <v>0</v>
      </c>
      <c r="K104" s="6">
        <f t="shared" si="15"/>
        <v>0</v>
      </c>
      <c r="L104" s="6">
        <f t="shared" si="15"/>
        <v>0</v>
      </c>
      <c r="M104" s="6">
        <f t="shared" si="15"/>
        <v>1</v>
      </c>
      <c r="N104" s="6">
        <f t="shared" si="15"/>
        <v>0</v>
      </c>
      <c r="O104" s="6">
        <f t="shared" si="15"/>
        <v>0</v>
      </c>
      <c r="P104" s="6">
        <f t="shared" si="15"/>
        <v>0</v>
      </c>
      <c r="Q104" s="6">
        <f t="shared" si="16"/>
        <v>0</v>
      </c>
      <c r="R104" s="6">
        <f t="shared" si="16"/>
        <v>1</v>
      </c>
      <c r="S104" s="6">
        <f t="shared" si="16"/>
        <v>0</v>
      </c>
      <c r="T104" s="6">
        <f t="shared" si="16"/>
        <v>0</v>
      </c>
      <c r="U104" s="6">
        <f t="shared" si="16"/>
        <v>0</v>
      </c>
    </row>
    <row r="105" spans="1:21">
      <c r="A105" s="13">
        <v>10169</v>
      </c>
      <c r="B105" s="7">
        <f t="shared" ca="1" si="10"/>
        <v>11</v>
      </c>
      <c r="C105" s="6">
        <v>21</v>
      </c>
      <c r="D105" s="6" t="s">
        <v>53</v>
      </c>
      <c r="E105" s="6" t="s">
        <v>39</v>
      </c>
      <c r="F105" s="6">
        <f t="shared" si="11"/>
        <v>0</v>
      </c>
      <c r="G105" s="6">
        <f t="shared" si="12"/>
        <v>0</v>
      </c>
      <c r="H105" s="6">
        <f t="shared" si="13"/>
        <v>0</v>
      </c>
      <c r="I105" s="6">
        <f t="shared" si="14"/>
        <v>1</v>
      </c>
      <c r="J105" s="6">
        <f t="shared" si="15"/>
        <v>0</v>
      </c>
      <c r="K105" s="6">
        <f t="shared" si="15"/>
        <v>0</v>
      </c>
      <c r="L105" s="6">
        <f t="shared" si="15"/>
        <v>0</v>
      </c>
      <c r="M105" s="6">
        <f t="shared" si="15"/>
        <v>0</v>
      </c>
      <c r="N105" s="6">
        <f t="shared" si="15"/>
        <v>0</v>
      </c>
      <c r="O105" s="6">
        <f t="shared" si="15"/>
        <v>0</v>
      </c>
      <c r="P105" s="6">
        <f t="shared" si="15"/>
        <v>1</v>
      </c>
      <c r="Q105" s="6">
        <f t="shared" si="16"/>
        <v>0</v>
      </c>
      <c r="R105" s="6">
        <f t="shared" si="16"/>
        <v>0</v>
      </c>
      <c r="S105" s="6">
        <f t="shared" si="16"/>
        <v>1</v>
      </c>
      <c r="T105" s="6">
        <f t="shared" si="16"/>
        <v>0</v>
      </c>
      <c r="U105" s="6">
        <f t="shared" si="16"/>
        <v>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I62"/>
  <sheetViews>
    <sheetView workbookViewId="0"/>
  </sheetViews>
  <sheetFormatPr defaultRowHeight="13.5"/>
  <cols>
    <col min="26" max="26" width="3.125" customWidth="1"/>
    <col min="30" max="34" width="9.5" bestFit="1" customWidth="1"/>
  </cols>
  <sheetData>
    <row r="2" spans="1:26">
      <c r="A2" t="s">
        <v>351</v>
      </c>
    </row>
    <row r="3" spans="1:26">
      <c r="A3" t="s">
        <v>352</v>
      </c>
    </row>
    <row r="5" spans="1:26">
      <c r="A5" s="18" t="s">
        <v>263</v>
      </c>
      <c r="B5" s="17">
        <f>A36</f>
        <v>15</v>
      </c>
      <c r="C5" t="s">
        <v>267</v>
      </c>
      <c r="H5" t="s">
        <v>353</v>
      </c>
    </row>
    <row r="6" spans="1:26">
      <c r="A6" t="s">
        <v>265</v>
      </c>
      <c r="F6" s="16"/>
      <c r="G6" s="16" t="s">
        <v>344</v>
      </c>
      <c r="H6" s="16" t="s">
        <v>339</v>
      </c>
      <c r="I6" s="16" t="s">
        <v>340</v>
      </c>
    </row>
    <row r="7" spans="1:26">
      <c r="F7" s="16" t="s">
        <v>341</v>
      </c>
      <c r="G7" s="17">
        <v>1</v>
      </c>
      <c r="H7" s="17">
        <f>B5</f>
        <v>15</v>
      </c>
      <c r="I7" s="17">
        <f>B8</f>
        <v>30</v>
      </c>
    </row>
    <row r="8" spans="1:26">
      <c r="A8" s="18" t="s">
        <v>262</v>
      </c>
      <c r="B8" s="17">
        <f>A51</f>
        <v>30</v>
      </c>
      <c r="C8" t="s">
        <v>267</v>
      </c>
      <c r="F8" s="16" t="s">
        <v>330</v>
      </c>
      <c r="G8" s="17">
        <f>AVERAGE(B22:B1048576)</f>
        <v>1</v>
      </c>
      <c r="H8" s="17">
        <f>$G$8*H7</f>
        <v>15</v>
      </c>
      <c r="I8" s="17">
        <f>$G$8*I7</f>
        <v>30</v>
      </c>
      <c r="J8" t="s">
        <v>355</v>
      </c>
    </row>
    <row r="9" spans="1:26">
      <c r="A9" t="s">
        <v>264</v>
      </c>
      <c r="F9" s="16" t="s">
        <v>331</v>
      </c>
      <c r="G9" s="17">
        <f>STDEV(B22:B1048576)</f>
        <v>0.78783859715833537</v>
      </c>
      <c r="H9" s="17">
        <f>$G$9*SQRT(H7)</f>
        <v>3.0512857662936468</v>
      </c>
      <c r="I9" s="17">
        <f>$G$9*SQRT(I7)</f>
        <v>4.3151697133684577</v>
      </c>
      <c r="J9" t="s">
        <v>356</v>
      </c>
    </row>
    <row r="10" spans="1:26">
      <c r="A10" t="s">
        <v>266</v>
      </c>
      <c r="J10" t="s">
        <v>357</v>
      </c>
    </row>
    <row r="14" spans="1:26">
      <c r="A14" t="s">
        <v>56</v>
      </c>
      <c r="L14" t="s">
        <v>349</v>
      </c>
      <c r="Z14" t="s">
        <v>354</v>
      </c>
    </row>
    <row r="15" spans="1:26">
      <c r="L15" t="s">
        <v>363</v>
      </c>
      <c r="Z15" t="s">
        <v>364</v>
      </c>
    </row>
    <row r="16" spans="1:26">
      <c r="L16" t="s">
        <v>368</v>
      </c>
    </row>
    <row r="18" spans="1:35">
      <c r="AG18" s="16" t="s">
        <v>379</v>
      </c>
    </row>
    <row r="19" spans="1:35">
      <c r="A19" t="s">
        <v>6</v>
      </c>
      <c r="AG19" s="17">
        <f>MIN(AG22:AG1048576)</f>
        <v>0.89104699184706559</v>
      </c>
    </row>
    <row r="20" spans="1:35">
      <c r="A20" s="42"/>
      <c r="B20" s="42"/>
      <c r="L20" s="16" t="s">
        <v>360</v>
      </c>
      <c r="M20" s="16"/>
      <c r="N20" s="16" t="s">
        <v>347</v>
      </c>
      <c r="O20" s="16" t="s">
        <v>348</v>
      </c>
      <c r="P20" s="16"/>
      <c r="Z20" s="41"/>
      <c r="AA20" s="54" t="s">
        <v>337</v>
      </c>
      <c r="AB20" s="55"/>
      <c r="AC20" s="55" t="s">
        <v>370</v>
      </c>
      <c r="AD20" s="55"/>
      <c r="AE20" s="55"/>
      <c r="AF20" s="55"/>
      <c r="AG20" s="55" t="s">
        <v>376</v>
      </c>
      <c r="AH20" s="55" t="s">
        <v>343</v>
      </c>
    </row>
    <row r="21" spans="1:35">
      <c r="A21" s="42" t="s">
        <v>261</v>
      </c>
      <c r="B21" s="42" t="s">
        <v>1</v>
      </c>
      <c r="L21" s="16" t="s">
        <v>345</v>
      </c>
      <c r="M21" s="16" t="s">
        <v>350</v>
      </c>
      <c r="N21" s="16" t="s">
        <v>346</v>
      </c>
      <c r="O21" s="16" t="s">
        <v>361</v>
      </c>
      <c r="P21" s="16" t="s">
        <v>332</v>
      </c>
      <c r="Z21" s="41"/>
      <c r="AA21" s="55" t="s">
        <v>333</v>
      </c>
      <c r="AB21" s="55" t="s">
        <v>334</v>
      </c>
      <c r="AC21" s="55" t="s">
        <v>334</v>
      </c>
      <c r="AD21" s="55" t="s">
        <v>338</v>
      </c>
      <c r="AE21" s="55" t="s">
        <v>371</v>
      </c>
      <c r="AF21" s="55" t="s">
        <v>335</v>
      </c>
      <c r="AG21" s="55" t="s">
        <v>336</v>
      </c>
      <c r="AH21" s="55" t="s">
        <v>342</v>
      </c>
    </row>
    <row r="22" spans="1:35">
      <c r="A22" s="40">
        <v>1</v>
      </c>
      <c r="B22" s="40">
        <v>2</v>
      </c>
      <c r="L22">
        <f t="shared" ref="L22:L40" si="0">L23-0.5</f>
        <v>5</v>
      </c>
      <c r="M22">
        <f t="shared" ref="M22:M40" si="1">M23-0.5</f>
        <v>5</v>
      </c>
      <c r="N22" s="19">
        <f t="shared" ref="N22:N40" si="2">1/SQRT(2*PI()*POWER($H$9,2))</f>
        <v>0.13074563018921109</v>
      </c>
      <c r="O22" s="19">
        <f t="shared" ref="O22:O41" si="3">EXP(-POWER((M22-$H$8),2)/(2*POWER($H$9,2)))</f>
        <v>4.6524078771201221E-3</v>
      </c>
      <c r="P22" s="19">
        <f t="shared" ref="P22:P40" si="4">N22*O22</f>
        <v>6.0828199979132017E-4</v>
      </c>
      <c r="Z22" s="40">
        <v>1</v>
      </c>
      <c r="AA22" s="48">
        <v>0.1</v>
      </c>
      <c r="AB22" s="47">
        <f>NORMINV(1-AA22,$H$8,$H$9)</f>
        <v>18.910380050717578</v>
      </c>
      <c r="AC22" s="56">
        <f>ROUNDUP(AB22,0)</f>
        <v>19</v>
      </c>
      <c r="AD22" s="53">
        <f>NORMDIST(AB22,$I$8,$I$9,TRUE)</f>
        <v>5.0861715789378703E-3</v>
      </c>
      <c r="AE22" s="47">
        <f>AB22*(AA22/(1-AA22))</f>
        <v>2.1011533389686199</v>
      </c>
      <c r="AF22" s="47">
        <f>AB22*AD22</f>
        <v>9.6181437560873426E-2</v>
      </c>
      <c r="AG22" s="47">
        <f>AE22+AF22</f>
        <v>2.1973347765294933</v>
      </c>
      <c r="AH22" s="47">
        <f>AG22-$AG$19</f>
        <v>1.3062877846824277</v>
      </c>
      <c r="AI22" s="19" t="s">
        <v>372</v>
      </c>
    </row>
    <row r="23" spans="1:35">
      <c r="A23" s="40">
        <v>2</v>
      </c>
      <c r="B23" s="40">
        <v>1</v>
      </c>
      <c r="L23">
        <f t="shared" si="0"/>
        <v>5.5</v>
      </c>
      <c r="M23">
        <f t="shared" si="1"/>
        <v>5.5</v>
      </c>
      <c r="N23" s="19">
        <f t="shared" si="2"/>
        <v>0.13074563018921109</v>
      </c>
      <c r="O23" s="19">
        <f t="shared" si="3"/>
        <v>7.8537884441049772E-3</v>
      </c>
      <c r="P23" s="19">
        <f t="shared" si="4"/>
        <v>1.0268485194972489E-3</v>
      </c>
      <c r="Z23" s="40">
        <f>Z22+1</f>
        <v>2</v>
      </c>
      <c r="AA23" s="48">
        <f>AA22-0.005</f>
        <v>9.5000000000000001E-2</v>
      </c>
      <c r="AB23" s="47">
        <f t="shared" ref="AB23:AB41" si="5">NORMINV(1-AA23,$H$8,$H$9)</f>
        <v>18.998951390560375</v>
      </c>
      <c r="AC23" s="56">
        <f t="shared" ref="AC23:AC41" si="6">ROUNDUP(AB23,0)</f>
        <v>19</v>
      </c>
      <c r="AD23" s="53">
        <f t="shared" ref="AD23:AD41" si="7">NORMDIST(AB23,$I$8,$I$9,TRUE)</f>
        <v>5.3955842236426133E-3</v>
      </c>
      <c r="AE23" s="47">
        <f t="shared" ref="AE23:AE41" si="8">AB23*(AA23/(1-AA23))</f>
        <v>1.9943650630974978</v>
      </c>
      <c r="AF23" s="47">
        <f t="shared" ref="AF23:AF41" si="9">AB23*AD23</f>
        <v>0.10251044238866044</v>
      </c>
      <c r="AG23" s="47">
        <f t="shared" ref="AG23:AG41" si="10">AE23+AF23</f>
        <v>2.0968755054861581</v>
      </c>
      <c r="AH23" s="47">
        <f>AG23-$AG$19</f>
        <v>1.2058285136390925</v>
      </c>
      <c r="AI23" t="s">
        <v>373</v>
      </c>
    </row>
    <row r="24" spans="1:35">
      <c r="A24" s="40">
        <v>3</v>
      </c>
      <c r="B24" s="40">
        <v>1</v>
      </c>
      <c r="L24">
        <f t="shared" si="0"/>
        <v>6</v>
      </c>
      <c r="M24">
        <f t="shared" si="1"/>
        <v>6</v>
      </c>
      <c r="N24" s="19">
        <f t="shared" si="2"/>
        <v>0.13074563018921109</v>
      </c>
      <c r="O24" s="19">
        <f t="shared" si="3"/>
        <v>1.2906812580479862E-2</v>
      </c>
      <c r="P24" s="19">
        <f t="shared" si="4"/>
        <v>1.6875093445688774E-3</v>
      </c>
      <c r="Z24" s="40">
        <f t="shared" ref="Z24:Z41" si="11">Z23+1</f>
        <v>3</v>
      </c>
      <c r="AA24" s="48">
        <f t="shared" ref="AA24:AA41" si="12">AA23-0.005</f>
        <v>0.09</v>
      </c>
      <c r="AB24" s="47">
        <f t="shared" si="5"/>
        <v>19.091026750385513</v>
      </c>
      <c r="AC24" s="56">
        <f t="shared" si="6"/>
        <v>20</v>
      </c>
      <c r="AD24" s="53">
        <f t="shared" si="7"/>
        <v>5.7348687978937551E-3</v>
      </c>
      <c r="AE24" s="47">
        <f t="shared" si="8"/>
        <v>1.8881235247634023</v>
      </c>
      <c r="AF24" s="47">
        <f t="shared" si="9"/>
        <v>0.10948453363054089</v>
      </c>
      <c r="AG24" s="47">
        <f t="shared" si="10"/>
        <v>1.9976080583939431</v>
      </c>
      <c r="AH24" s="47">
        <f t="shared" ref="AH24:AH41" si="13">AG24-$AG$19</f>
        <v>1.1065610665468775</v>
      </c>
      <c r="AI24" t="s">
        <v>374</v>
      </c>
    </row>
    <row r="25" spans="1:35">
      <c r="A25" s="40">
        <v>4</v>
      </c>
      <c r="B25" s="40">
        <v>2</v>
      </c>
      <c r="L25">
        <f t="shared" si="0"/>
        <v>6.5</v>
      </c>
      <c r="M25">
        <f t="shared" si="1"/>
        <v>6.5</v>
      </c>
      <c r="N25" s="19">
        <f t="shared" si="2"/>
        <v>0.13074563018921109</v>
      </c>
      <c r="O25" s="19">
        <f t="shared" si="3"/>
        <v>2.0648913156790849E-2</v>
      </c>
      <c r="P25" s="19">
        <f t="shared" si="4"/>
        <v>2.6997551634069116E-3</v>
      </c>
      <c r="Z25" s="40">
        <f t="shared" si="11"/>
        <v>4</v>
      </c>
      <c r="AA25" s="48">
        <f t="shared" si="12"/>
        <v>8.4999999999999992E-2</v>
      </c>
      <c r="AB25" s="47">
        <f t="shared" si="5"/>
        <v>19.186985950851739</v>
      </c>
      <c r="AC25" s="56">
        <f t="shared" si="6"/>
        <v>20</v>
      </c>
      <c r="AD25" s="53">
        <f t="shared" si="7"/>
        <v>6.1084879262314207E-3</v>
      </c>
      <c r="AE25" s="47">
        <f t="shared" si="8"/>
        <v>1.7823976019916914</v>
      </c>
      <c r="AF25" s="47">
        <f t="shared" si="9"/>
        <v>0.11720347202154974</v>
      </c>
      <c r="AG25" s="47">
        <f t="shared" si="10"/>
        <v>1.8996010740132412</v>
      </c>
      <c r="AH25" s="47">
        <f t="shared" si="13"/>
        <v>1.0085540821661756</v>
      </c>
      <c r="AI25" t="s">
        <v>375</v>
      </c>
    </row>
    <row r="26" spans="1:35">
      <c r="A26" s="40">
        <v>5</v>
      </c>
      <c r="B26" s="40">
        <v>1</v>
      </c>
      <c r="L26">
        <f t="shared" si="0"/>
        <v>7</v>
      </c>
      <c r="M26">
        <f t="shared" si="1"/>
        <v>7</v>
      </c>
      <c r="N26" s="19">
        <f t="shared" si="2"/>
        <v>0.13074563018921109</v>
      </c>
      <c r="O26" s="19">
        <f t="shared" si="3"/>
        <v>3.2159832692355388E-2</v>
      </c>
      <c r="P26" s="19">
        <f t="shared" si="4"/>
        <v>4.2047575921415987E-3</v>
      </c>
      <c r="Z26" s="40">
        <f t="shared" si="11"/>
        <v>5</v>
      </c>
      <c r="AA26" s="48">
        <f t="shared" si="12"/>
        <v>7.9999999999999988E-2</v>
      </c>
      <c r="AB26" s="47">
        <f t="shared" si="5"/>
        <v>19.287274852596788</v>
      </c>
      <c r="AC26" s="56">
        <f t="shared" si="6"/>
        <v>20</v>
      </c>
      <c r="AD26" s="53">
        <f t="shared" si="7"/>
        <v>6.5218613012366644E-3</v>
      </c>
      <c r="AE26" s="47">
        <f t="shared" si="8"/>
        <v>1.6771543350084159</v>
      </c>
      <c r="AF26" s="47">
        <f t="shared" si="9"/>
        <v>0.12578893146746609</v>
      </c>
      <c r="AG26" s="47">
        <f t="shared" si="10"/>
        <v>1.802943266475882</v>
      </c>
      <c r="AH26" s="47">
        <f t="shared" si="13"/>
        <v>0.91189627462881639</v>
      </c>
    </row>
    <row r="27" spans="1:35">
      <c r="A27" s="40">
        <v>6</v>
      </c>
      <c r="B27" s="40">
        <v>0</v>
      </c>
      <c r="L27">
        <f t="shared" si="0"/>
        <v>7.5</v>
      </c>
      <c r="M27">
        <f t="shared" si="1"/>
        <v>7.5</v>
      </c>
      <c r="N27" s="19">
        <f t="shared" si="2"/>
        <v>0.13074563018921109</v>
      </c>
      <c r="O27" s="19">
        <f t="shared" si="3"/>
        <v>4.8760567620206169E-2</v>
      </c>
      <c r="P27" s="19">
        <f t="shared" si="4"/>
        <v>6.3752311418874968E-3</v>
      </c>
      <c r="Z27" s="40">
        <f t="shared" si="11"/>
        <v>6</v>
      </c>
      <c r="AA27" s="48">
        <f t="shared" si="12"/>
        <v>7.4999999999999983E-2</v>
      </c>
      <c r="AB27" s="47">
        <f t="shared" si="5"/>
        <v>19.392421887406272</v>
      </c>
      <c r="AC27" s="56">
        <f t="shared" si="6"/>
        <v>20</v>
      </c>
      <c r="AD27" s="53">
        <f t="shared" si="7"/>
        <v>6.9816435125873433E-3</v>
      </c>
      <c r="AE27" s="47">
        <f t="shared" si="8"/>
        <v>1.5723585314113189</v>
      </c>
      <c r="AF27" s="47">
        <f t="shared" si="9"/>
        <v>0.13539097646356679</v>
      </c>
      <c r="AG27" s="47">
        <f t="shared" si="10"/>
        <v>1.7077495078748857</v>
      </c>
      <c r="AH27" s="47">
        <f t="shared" si="13"/>
        <v>0.81670251602782007</v>
      </c>
    </row>
    <row r="28" spans="1:35">
      <c r="A28" s="40">
        <v>7</v>
      </c>
      <c r="B28" s="40">
        <v>0</v>
      </c>
      <c r="L28">
        <f t="shared" si="0"/>
        <v>8</v>
      </c>
      <c r="M28">
        <f t="shared" si="1"/>
        <v>8</v>
      </c>
      <c r="N28" s="19">
        <f t="shared" si="2"/>
        <v>0.13074563018921109</v>
      </c>
      <c r="O28" s="19">
        <f t="shared" si="3"/>
        <v>7.1971758391148832E-2</v>
      </c>
      <c r="P28" s="19">
        <f t="shared" si="4"/>
        <v>9.4099929066763961E-3</v>
      </c>
      <c r="Z28" s="40">
        <f t="shared" si="11"/>
        <v>7</v>
      </c>
      <c r="AA28" s="48">
        <f t="shared" si="12"/>
        <v>6.9999999999999979E-2</v>
      </c>
      <c r="AB28" s="47">
        <f t="shared" si="5"/>
        <v>19.503060158306972</v>
      </c>
      <c r="AC28" s="56">
        <f t="shared" si="6"/>
        <v>20</v>
      </c>
      <c r="AD28" s="53">
        <f t="shared" si="7"/>
        <v>7.4961068475819514E-3</v>
      </c>
      <c r="AE28" s="47">
        <f t="shared" si="8"/>
        <v>1.4679722699800941</v>
      </c>
      <c r="AF28" s="47">
        <f t="shared" si="9"/>
        <v>0.14619702280148764</v>
      </c>
      <c r="AG28" s="47">
        <f t="shared" si="10"/>
        <v>1.6141692927815818</v>
      </c>
      <c r="AH28" s="47">
        <f t="shared" si="13"/>
        <v>0.72312230093451624</v>
      </c>
    </row>
    <row r="29" spans="1:35">
      <c r="A29" s="40">
        <v>8</v>
      </c>
      <c r="B29" s="40">
        <v>2</v>
      </c>
      <c r="L29">
        <f t="shared" si="0"/>
        <v>8.5</v>
      </c>
      <c r="M29">
        <f t="shared" si="1"/>
        <v>8.5</v>
      </c>
      <c r="N29" s="19">
        <f t="shared" si="2"/>
        <v>0.13074563018921109</v>
      </c>
      <c r="O29" s="19">
        <f t="shared" si="3"/>
        <v>0.10341745905689438</v>
      </c>
      <c r="P29" s="19">
        <f t="shared" si="4"/>
        <v>1.3521380856960592E-2</v>
      </c>
      <c r="Z29" s="40">
        <f t="shared" si="11"/>
        <v>8</v>
      </c>
      <c r="AA29" s="48">
        <f t="shared" si="12"/>
        <v>6.4999999999999974E-2</v>
      </c>
      <c r="AB29" s="47">
        <f t="shared" si="5"/>
        <v>19.619957538411064</v>
      </c>
      <c r="AC29" s="56">
        <f t="shared" si="6"/>
        <v>20</v>
      </c>
      <c r="AD29" s="53">
        <f t="shared" si="7"/>
        <v>8.0756793629459533E-3</v>
      </c>
      <c r="AE29" s="47">
        <f t="shared" si="8"/>
        <v>1.3639542673761698</v>
      </c>
      <c r="AF29" s="47">
        <f t="shared" si="9"/>
        <v>0.15844448619482213</v>
      </c>
      <c r="AG29" s="47">
        <f t="shared" si="10"/>
        <v>1.522398753570992</v>
      </c>
      <c r="AH29" s="47">
        <f t="shared" si="13"/>
        <v>0.63135176172392637</v>
      </c>
    </row>
    <row r="30" spans="1:35">
      <c r="A30" s="40">
        <v>9</v>
      </c>
      <c r="B30" s="40">
        <v>0</v>
      </c>
      <c r="L30">
        <f t="shared" si="0"/>
        <v>9</v>
      </c>
      <c r="M30">
        <f t="shared" si="1"/>
        <v>9</v>
      </c>
      <c r="N30" s="19">
        <f t="shared" si="2"/>
        <v>0.13074563018921109</v>
      </c>
      <c r="O30" s="19">
        <f t="shared" si="3"/>
        <v>0.14466517663899506</v>
      </c>
      <c r="P30" s="19">
        <f t="shared" si="4"/>
        <v>1.8914339686098947E-2</v>
      </c>
      <c r="Z30" s="40">
        <f t="shared" si="11"/>
        <v>9</v>
      </c>
      <c r="AA30" s="48">
        <f t="shared" si="12"/>
        <v>5.9999999999999977E-2</v>
      </c>
      <c r="AB30" s="47">
        <f t="shared" si="5"/>
        <v>19.744058539002591</v>
      </c>
      <c r="AC30" s="56">
        <f t="shared" si="6"/>
        <v>20</v>
      </c>
      <c r="AD30" s="53">
        <f t="shared" si="7"/>
        <v>8.7337185789642113E-3</v>
      </c>
      <c r="AE30" s="47">
        <f t="shared" si="8"/>
        <v>1.2602590556810158</v>
      </c>
      <c r="AF30" s="47">
        <f t="shared" si="9"/>
        <v>0.17243905088624392</v>
      </c>
      <c r="AG30" s="47">
        <f t="shared" si="10"/>
        <v>1.4326981065672597</v>
      </c>
      <c r="AH30" s="47">
        <f t="shared" si="13"/>
        <v>0.54165111472019412</v>
      </c>
    </row>
    <row r="31" spans="1:35">
      <c r="A31" s="40">
        <v>10</v>
      </c>
      <c r="B31" s="40">
        <v>0</v>
      </c>
      <c r="L31">
        <f t="shared" si="0"/>
        <v>9.5</v>
      </c>
      <c r="M31">
        <f t="shared" si="1"/>
        <v>9.5</v>
      </c>
      <c r="N31" s="19">
        <f t="shared" si="2"/>
        <v>0.13074563018921109</v>
      </c>
      <c r="O31" s="19">
        <f t="shared" si="3"/>
        <v>0.19700285912254842</v>
      </c>
      <c r="P31" s="19">
        <f t="shared" si="4"/>
        <v>2.5757262965053967E-2</v>
      </c>
      <c r="Z31" s="40">
        <f t="shared" si="11"/>
        <v>10</v>
      </c>
      <c r="AA31" s="48">
        <f t="shared" si="12"/>
        <v>5.4999999999999979E-2</v>
      </c>
      <c r="AB31" s="47">
        <f t="shared" si="5"/>
        <v>19.876543979634643</v>
      </c>
      <c r="AC31" s="56">
        <f t="shared" si="6"/>
        <v>20</v>
      </c>
      <c r="AD31" s="53">
        <f t="shared" si="7"/>
        <v>9.4876533451644374E-3</v>
      </c>
      <c r="AE31" s="47">
        <f t="shared" si="8"/>
        <v>1.1568358929946083</v>
      </c>
      <c r="AF31" s="47">
        <f t="shared" si="9"/>
        <v>0.18858175897868867</v>
      </c>
      <c r="AG31" s="47">
        <f t="shared" si="10"/>
        <v>1.345417651973297</v>
      </c>
      <c r="AH31" s="47">
        <f t="shared" si="13"/>
        <v>0.4543706601262314</v>
      </c>
    </row>
    <row r="32" spans="1:35">
      <c r="A32" s="40">
        <v>11</v>
      </c>
      <c r="B32" s="40">
        <v>0</v>
      </c>
      <c r="L32">
        <f t="shared" si="0"/>
        <v>10</v>
      </c>
      <c r="M32">
        <f t="shared" si="1"/>
        <v>10</v>
      </c>
      <c r="N32" s="19">
        <f t="shared" si="2"/>
        <v>0.13074563018921109</v>
      </c>
      <c r="O32" s="19">
        <f t="shared" si="3"/>
        <v>0.26116768868214868</v>
      </c>
      <c r="P32" s="19">
        <f t="shared" si="4"/>
        <v>3.4146534041807224E-2</v>
      </c>
      <c r="Z32" s="40">
        <f t="shared" si="11"/>
        <v>11</v>
      </c>
      <c r="AA32" s="48">
        <f t="shared" si="12"/>
        <v>4.9999999999999982E-2</v>
      </c>
      <c r="AB32" s="47">
        <f t="shared" si="5"/>
        <v>20.018918459553511</v>
      </c>
      <c r="AC32" s="56">
        <f t="shared" si="6"/>
        <v>21</v>
      </c>
      <c r="AD32" s="53">
        <f t="shared" si="7"/>
        <v>1.0360720790176581E-2</v>
      </c>
      <c r="AE32" s="47">
        <f t="shared" si="8"/>
        <v>1.0536272873449211</v>
      </c>
      <c r="AF32" s="47">
        <f t="shared" si="9"/>
        <v>0.2074104246807458</v>
      </c>
      <c r="AG32" s="47">
        <f t="shared" si="10"/>
        <v>1.2610377120256668</v>
      </c>
      <c r="AH32" s="47">
        <f t="shared" si="13"/>
        <v>0.36999072017860124</v>
      </c>
    </row>
    <row r="33" spans="1:35">
      <c r="A33" s="40">
        <v>12</v>
      </c>
      <c r="B33" s="40">
        <v>2</v>
      </c>
      <c r="L33">
        <f t="shared" si="0"/>
        <v>10.5</v>
      </c>
      <c r="M33">
        <f t="shared" si="1"/>
        <v>10.5</v>
      </c>
      <c r="N33" s="19">
        <f t="shared" si="2"/>
        <v>0.13074563018921109</v>
      </c>
      <c r="O33" s="19">
        <f t="shared" si="3"/>
        <v>0.33705808649365426</v>
      </c>
      <c r="P33" s="19">
        <f t="shared" si="4"/>
        <v>4.4068871928982449E-2</v>
      </c>
      <c r="Z33" s="40">
        <f t="shared" si="11"/>
        <v>12</v>
      </c>
      <c r="AA33" s="48">
        <f t="shared" si="12"/>
        <v>4.4999999999999984E-2</v>
      </c>
      <c r="AB33" s="47">
        <f t="shared" si="5"/>
        <v>20.173142901560215</v>
      </c>
      <c r="AC33" s="56">
        <f t="shared" si="6"/>
        <v>21</v>
      </c>
      <c r="AD33" s="53">
        <f t="shared" si="7"/>
        <v>1.1384703975197863E-2</v>
      </c>
      <c r="AE33" s="47">
        <f t="shared" si="8"/>
        <v>0.95056694300545475</v>
      </c>
      <c r="AF33" s="47">
        <f t="shared" si="9"/>
        <v>0.22966526018362712</v>
      </c>
      <c r="AG33" s="47">
        <f t="shared" si="10"/>
        <v>1.180232203189082</v>
      </c>
      <c r="AH33" s="47">
        <f t="shared" si="13"/>
        <v>0.28918521134201636</v>
      </c>
    </row>
    <row r="34" spans="1:35">
      <c r="A34" s="40">
        <v>13</v>
      </c>
      <c r="B34" s="40">
        <v>2</v>
      </c>
      <c r="L34">
        <f t="shared" si="0"/>
        <v>11</v>
      </c>
      <c r="M34">
        <f t="shared" si="1"/>
        <v>11</v>
      </c>
      <c r="N34" s="19">
        <f t="shared" si="2"/>
        <v>0.13074563018921109</v>
      </c>
      <c r="O34" s="19">
        <f t="shared" si="3"/>
        <v>0.42347565183457847</v>
      </c>
      <c r="P34" s="19">
        <f t="shared" si="4"/>
        <v>5.5367590968898907E-2</v>
      </c>
      <c r="Z34" s="40">
        <f t="shared" si="11"/>
        <v>13</v>
      </c>
      <c r="AA34" s="48">
        <f t="shared" si="12"/>
        <v>3.9999999999999987E-2</v>
      </c>
      <c r="AB34" s="47">
        <f t="shared" si="5"/>
        <v>20.341843490460292</v>
      </c>
      <c r="AC34" s="56">
        <f t="shared" si="6"/>
        <v>21</v>
      </c>
      <c r="AD34" s="53">
        <f t="shared" si="7"/>
        <v>1.2604433382423341E-2</v>
      </c>
      <c r="AE34" s="47">
        <f t="shared" si="8"/>
        <v>0.84757681210251201</v>
      </c>
      <c r="AF34" s="47">
        <f t="shared" si="9"/>
        <v>0.25639741115118864</v>
      </c>
      <c r="AG34" s="47">
        <f t="shared" si="10"/>
        <v>1.1039742232537006</v>
      </c>
      <c r="AH34" s="47">
        <f t="shared" si="13"/>
        <v>0.21292723140663505</v>
      </c>
    </row>
    <row r="35" spans="1:35">
      <c r="A35" s="40">
        <v>14</v>
      </c>
      <c r="B35" s="40">
        <v>2</v>
      </c>
      <c r="L35">
        <f t="shared" si="0"/>
        <v>11.5</v>
      </c>
      <c r="M35">
        <f t="shared" si="1"/>
        <v>11.5</v>
      </c>
      <c r="N35" s="19">
        <f t="shared" si="2"/>
        <v>0.13074563018921109</v>
      </c>
      <c r="O35" s="19">
        <f t="shared" si="3"/>
        <v>0.51795320928390276</v>
      </c>
      <c r="P35" s="19">
        <f t="shared" si="4"/>
        <v>6.7720118756348202E-2</v>
      </c>
      <c r="Z35" s="40">
        <f t="shared" si="11"/>
        <v>14</v>
      </c>
      <c r="AA35" s="48">
        <f t="shared" si="12"/>
        <v>3.4999999999999989E-2</v>
      </c>
      <c r="AB35" s="47">
        <f t="shared" si="5"/>
        <v>20.528657246175804</v>
      </c>
      <c r="AC35" s="56">
        <f t="shared" si="6"/>
        <v>21</v>
      </c>
      <c r="AD35" s="53">
        <f t="shared" si="7"/>
        <v>1.4085579207962606E-2</v>
      </c>
      <c r="AE35" s="47">
        <f t="shared" si="8"/>
        <v>0.74456269804782693</v>
      </c>
      <c r="AF35" s="47">
        <f t="shared" si="9"/>
        <v>0.2891580276741248</v>
      </c>
      <c r="AG35" s="47">
        <f t="shared" si="10"/>
        <v>1.0337207257219516</v>
      </c>
      <c r="AH35" s="47">
        <f t="shared" si="13"/>
        <v>0.14267373387488602</v>
      </c>
    </row>
    <row r="36" spans="1:35">
      <c r="A36" s="40">
        <v>15</v>
      </c>
      <c r="B36" s="40">
        <v>1</v>
      </c>
      <c r="C36" t="s">
        <v>359</v>
      </c>
      <c r="L36">
        <f t="shared" si="0"/>
        <v>12</v>
      </c>
      <c r="M36">
        <f t="shared" si="1"/>
        <v>12</v>
      </c>
      <c r="N36" s="19">
        <f t="shared" si="2"/>
        <v>0.13074563018921109</v>
      </c>
      <c r="O36" s="19">
        <f t="shared" si="3"/>
        <v>0.61672421436916081</v>
      </c>
      <c r="P36" s="19">
        <f t="shared" si="4"/>
        <v>8.0633996060642046E-2</v>
      </c>
      <c r="Z36" s="40">
        <f t="shared" si="11"/>
        <v>15</v>
      </c>
      <c r="AA36" s="48">
        <f t="shared" si="12"/>
        <v>2.9999999999999988E-2</v>
      </c>
      <c r="AB36" s="47">
        <f t="shared" si="5"/>
        <v>20.738838765887984</v>
      </c>
      <c r="AC36" s="56">
        <f t="shared" si="6"/>
        <v>21</v>
      </c>
      <c r="AD36" s="53">
        <f t="shared" si="7"/>
        <v>1.5929030313074799E-2</v>
      </c>
      <c r="AE36" s="47">
        <f t="shared" si="8"/>
        <v>0.64140738451199919</v>
      </c>
      <c r="AF36" s="47">
        <f t="shared" si="9"/>
        <v>0.33034959135980047</v>
      </c>
      <c r="AG36" s="47">
        <f t="shared" si="10"/>
        <v>0.97175697587179966</v>
      </c>
      <c r="AH36" s="47">
        <f t="shared" si="13"/>
        <v>8.0709984024734061E-2</v>
      </c>
    </row>
    <row r="37" spans="1:35">
      <c r="A37" s="40">
        <v>16</v>
      </c>
      <c r="B37" s="40">
        <v>0</v>
      </c>
      <c r="L37">
        <f t="shared" si="0"/>
        <v>12.5</v>
      </c>
      <c r="M37">
        <f t="shared" si="1"/>
        <v>12.5</v>
      </c>
      <c r="N37" s="19">
        <f t="shared" si="2"/>
        <v>0.13074563018921109</v>
      </c>
      <c r="O37" s="19">
        <f t="shared" si="3"/>
        <v>0.71487459151947552</v>
      </c>
      <c r="P37" s="19">
        <f t="shared" si="4"/>
        <v>9.3466728974468685E-2</v>
      </c>
      <c r="R37" t="s">
        <v>365</v>
      </c>
      <c r="Z37" s="40">
        <f t="shared" si="11"/>
        <v>16</v>
      </c>
      <c r="AA37" s="48">
        <f t="shared" si="12"/>
        <v>2.4999999999999988E-2</v>
      </c>
      <c r="AB37" s="47">
        <f t="shared" si="5"/>
        <v>20.980410208475249</v>
      </c>
      <c r="AC37" s="56">
        <f t="shared" si="6"/>
        <v>21</v>
      </c>
      <c r="AD37" s="53">
        <f t="shared" si="7"/>
        <v>1.8299689293365784E-2</v>
      </c>
      <c r="AE37" s="47">
        <f t="shared" si="8"/>
        <v>0.53795923611474972</v>
      </c>
      <c r="AF37" s="47">
        <f t="shared" si="9"/>
        <v>0.38393498806245668</v>
      </c>
      <c r="AG37" s="47">
        <f t="shared" si="10"/>
        <v>0.92189422417720635</v>
      </c>
      <c r="AH37" s="47">
        <f t="shared" si="13"/>
        <v>3.084723233014075E-2</v>
      </c>
    </row>
    <row r="38" spans="1:35">
      <c r="A38" s="40">
        <v>17</v>
      </c>
      <c r="B38" s="40">
        <v>1</v>
      </c>
      <c r="L38">
        <f t="shared" si="0"/>
        <v>13</v>
      </c>
      <c r="M38">
        <f t="shared" si="1"/>
        <v>13</v>
      </c>
      <c r="N38" s="19">
        <f t="shared" si="2"/>
        <v>0.13074563018921109</v>
      </c>
      <c r="O38" s="19">
        <f t="shared" si="3"/>
        <v>0.80669081353372507</v>
      </c>
      <c r="P38" s="19">
        <f t="shared" si="4"/>
        <v>0.10547129878331427</v>
      </c>
      <c r="R38" t="s">
        <v>369</v>
      </c>
      <c r="Z38" s="40">
        <f t="shared" si="11"/>
        <v>17</v>
      </c>
      <c r="AA38" s="48">
        <f t="shared" si="12"/>
        <v>1.9999999999999987E-2</v>
      </c>
      <c r="AB38" s="47">
        <f t="shared" si="5"/>
        <v>21.266574818551955</v>
      </c>
      <c r="AC38" s="56">
        <f t="shared" si="6"/>
        <v>22</v>
      </c>
      <c r="AD38" s="53">
        <f t="shared" si="7"/>
        <v>2.149077906318575E-2</v>
      </c>
      <c r="AE38" s="47">
        <f t="shared" si="8"/>
        <v>0.43401173099085599</v>
      </c>
      <c r="AF38" s="47">
        <f t="shared" si="9"/>
        <v>0.45703526085620966</v>
      </c>
      <c r="AG38" s="47">
        <f t="shared" si="10"/>
        <v>0.89104699184706559</v>
      </c>
      <c r="AH38" s="47">
        <f t="shared" si="13"/>
        <v>0</v>
      </c>
      <c r="AI38" t="s">
        <v>380</v>
      </c>
    </row>
    <row r="39" spans="1:35">
      <c r="A39" s="40">
        <v>18</v>
      </c>
      <c r="B39" s="40">
        <v>1</v>
      </c>
      <c r="L39">
        <f t="shared" si="0"/>
        <v>13.5</v>
      </c>
      <c r="M39">
        <f t="shared" si="1"/>
        <v>13.5</v>
      </c>
      <c r="N39" s="19">
        <f t="shared" si="2"/>
        <v>0.13074563018921109</v>
      </c>
      <c r="O39" s="19">
        <f t="shared" si="3"/>
        <v>0.88618164422618528</v>
      </c>
      <c r="P39" s="19">
        <f t="shared" si="4"/>
        <v>0.11586437753646385</v>
      </c>
      <c r="Z39" s="40">
        <f t="shared" si="11"/>
        <v>18</v>
      </c>
      <c r="AA39" s="48">
        <f t="shared" si="12"/>
        <v>1.4999999999999986E-2</v>
      </c>
      <c r="AB39" s="47">
        <f t="shared" si="5"/>
        <v>21.621565880694561</v>
      </c>
      <c r="AC39" s="56">
        <f t="shared" si="6"/>
        <v>22</v>
      </c>
      <c r="AD39" s="53">
        <f t="shared" si="7"/>
        <v>2.6091359193280095E-2</v>
      </c>
      <c r="AE39" s="47">
        <f t="shared" si="8"/>
        <v>0.32926242457910465</v>
      </c>
      <c r="AF39" s="47">
        <f t="shared" si="9"/>
        <v>0.56413604171437126</v>
      </c>
      <c r="AG39" s="47">
        <f t="shared" si="10"/>
        <v>0.89339846629347597</v>
      </c>
      <c r="AH39" s="47">
        <f t="shared" si="13"/>
        <v>2.3514744464103732E-3</v>
      </c>
    </row>
    <row r="40" spans="1:35">
      <c r="A40" s="40">
        <v>19</v>
      </c>
      <c r="B40" s="40">
        <v>2</v>
      </c>
      <c r="L40">
        <f t="shared" si="0"/>
        <v>14</v>
      </c>
      <c r="M40">
        <f t="shared" si="1"/>
        <v>14</v>
      </c>
      <c r="N40" s="19">
        <f t="shared" si="2"/>
        <v>0.13074563018921109</v>
      </c>
      <c r="O40" s="19">
        <f t="shared" si="3"/>
        <v>0.94771286871829541</v>
      </c>
      <c r="P40" s="19">
        <f t="shared" si="4"/>
        <v>0.12390931625899862</v>
      </c>
      <c r="Z40" s="40">
        <f t="shared" si="11"/>
        <v>19</v>
      </c>
      <c r="AA40" s="48">
        <f t="shared" si="12"/>
        <v>9.9999999999999846E-3</v>
      </c>
      <c r="AB40" s="47">
        <f t="shared" si="5"/>
        <v>22.098352155508302</v>
      </c>
      <c r="AC40" s="56">
        <f t="shared" si="6"/>
        <v>23</v>
      </c>
      <c r="AD40" s="53">
        <f t="shared" si="7"/>
        <v>3.3540378458941644E-2</v>
      </c>
      <c r="AE40" s="47">
        <f t="shared" si="8"/>
        <v>0.22321567833846737</v>
      </c>
      <c r="AF40" s="47">
        <f t="shared" si="9"/>
        <v>0.74118709461471732</v>
      </c>
      <c r="AG40" s="47">
        <f t="shared" si="10"/>
        <v>0.96440277295318466</v>
      </c>
      <c r="AH40" s="47">
        <f t="shared" si="13"/>
        <v>7.3355781106119067E-2</v>
      </c>
    </row>
    <row r="41" spans="1:35">
      <c r="A41" s="40">
        <v>20</v>
      </c>
      <c r="B41" s="40">
        <v>1</v>
      </c>
      <c r="L41">
        <f>L42-0.5</f>
        <v>14.5</v>
      </c>
      <c r="M41">
        <f>M42-0.5</f>
        <v>14.5</v>
      </c>
      <c r="N41" s="19">
        <f>1/SQRT(2*PI()*POWER($H$9,2))</f>
        <v>0.13074563018921109</v>
      </c>
      <c r="O41" s="19">
        <f t="shared" si="3"/>
        <v>0.98666379981829688</v>
      </c>
      <c r="P41" s="19">
        <f>N41*O41</f>
        <v>0.12900198029212484</v>
      </c>
      <c r="Z41" s="40">
        <f t="shared" si="11"/>
        <v>20</v>
      </c>
      <c r="AA41" s="48">
        <f t="shared" si="12"/>
        <v>4.9999999999999845E-3</v>
      </c>
      <c r="AB41" s="47">
        <f t="shared" si="5"/>
        <v>22.859591290320868</v>
      </c>
      <c r="AC41" s="56">
        <f t="shared" si="6"/>
        <v>23</v>
      </c>
      <c r="AD41" s="53">
        <f t="shared" si="7"/>
        <v>4.8990393517477582E-2</v>
      </c>
      <c r="AE41" s="47">
        <f t="shared" si="8"/>
        <v>0.11487231804181305</v>
      </c>
      <c r="AF41" s="47">
        <f t="shared" si="9"/>
        <v>1.1199003729615225</v>
      </c>
      <c r="AG41" s="47">
        <f t="shared" si="10"/>
        <v>1.2347726910033354</v>
      </c>
      <c r="AH41" s="47">
        <f t="shared" si="13"/>
        <v>0.34372569915626983</v>
      </c>
    </row>
    <row r="42" spans="1:35">
      <c r="A42" s="40">
        <v>21</v>
      </c>
      <c r="B42" s="40">
        <v>1</v>
      </c>
      <c r="K42" t="s">
        <v>362</v>
      </c>
      <c r="L42" s="19">
        <v>15</v>
      </c>
      <c r="M42" s="20">
        <f>H8</f>
        <v>15</v>
      </c>
      <c r="N42" s="19">
        <f>1/SQRT(2*PI()*POWER($H$9,2))</f>
        <v>0.13074563018921109</v>
      </c>
      <c r="O42" s="19">
        <f>EXP(-POWER((M42-$H$8),2)/(2*POWER($H$9,2)))</f>
        <v>1</v>
      </c>
      <c r="P42" s="19">
        <f>N42*O42</f>
        <v>0.13074563018921109</v>
      </c>
    </row>
    <row r="43" spans="1:35">
      <c r="A43" s="40">
        <v>22</v>
      </c>
      <c r="B43" s="40">
        <v>0</v>
      </c>
      <c r="L43">
        <f>L42+0.5</f>
        <v>15.5</v>
      </c>
      <c r="M43">
        <f>M42+0.5</f>
        <v>15.5</v>
      </c>
      <c r="N43" s="19">
        <f t="shared" ref="N43:N62" si="14">1/SQRT(2*PI()*POWER($H$9,2))</f>
        <v>0.13074563018921109</v>
      </c>
      <c r="O43" s="19">
        <f t="shared" ref="O43:O62" si="15">EXP(-POWER((M43-$H$8),2)/(2*POWER($H$9,2)))</f>
        <v>0.98666379981829688</v>
      </c>
      <c r="P43" s="19">
        <f>N43*O43</f>
        <v>0.12900198029212484</v>
      </c>
    </row>
    <row r="44" spans="1:35">
      <c r="A44" s="40">
        <v>23</v>
      </c>
      <c r="B44" s="40">
        <v>1</v>
      </c>
      <c r="L44">
        <f t="shared" ref="L44:L62" si="16">L43+0.5</f>
        <v>16</v>
      </c>
      <c r="M44">
        <f t="shared" ref="M44:M62" si="17">M43+0.5</f>
        <v>16</v>
      </c>
      <c r="N44" s="19">
        <f t="shared" si="14"/>
        <v>0.13074563018921109</v>
      </c>
      <c r="O44" s="19">
        <f t="shared" si="15"/>
        <v>0.94771286871829541</v>
      </c>
      <c r="P44" s="19">
        <f t="shared" ref="P44:P62" si="18">N44*O44</f>
        <v>0.12390931625899862</v>
      </c>
    </row>
    <row r="45" spans="1:35">
      <c r="A45" s="40">
        <v>24</v>
      </c>
      <c r="B45" s="40">
        <v>2</v>
      </c>
      <c r="L45">
        <f t="shared" si="16"/>
        <v>16.5</v>
      </c>
      <c r="M45">
        <f t="shared" si="17"/>
        <v>16.5</v>
      </c>
      <c r="N45" s="19">
        <f t="shared" si="14"/>
        <v>0.13074563018921109</v>
      </c>
      <c r="O45" s="19">
        <f t="shared" si="15"/>
        <v>0.88618164422618528</v>
      </c>
      <c r="P45" s="19">
        <f t="shared" si="18"/>
        <v>0.11586437753646385</v>
      </c>
    </row>
    <row r="46" spans="1:35">
      <c r="A46" s="40">
        <v>25</v>
      </c>
      <c r="B46" s="40">
        <v>0</v>
      </c>
      <c r="L46">
        <f t="shared" si="16"/>
        <v>17</v>
      </c>
      <c r="M46">
        <f t="shared" si="17"/>
        <v>17</v>
      </c>
      <c r="N46" s="19">
        <f t="shared" si="14"/>
        <v>0.13074563018921109</v>
      </c>
      <c r="O46" s="19">
        <f t="shared" si="15"/>
        <v>0.80669081353372507</v>
      </c>
      <c r="P46" s="19">
        <f t="shared" si="18"/>
        <v>0.10547129878331427</v>
      </c>
    </row>
    <row r="47" spans="1:35">
      <c r="A47" s="40">
        <v>26</v>
      </c>
      <c r="B47" s="40">
        <v>0</v>
      </c>
      <c r="L47">
        <f t="shared" si="16"/>
        <v>17.5</v>
      </c>
      <c r="M47">
        <f t="shared" si="17"/>
        <v>17.5</v>
      </c>
      <c r="N47" s="19">
        <f t="shared" si="14"/>
        <v>0.13074563018921109</v>
      </c>
      <c r="O47" s="19">
        <f t="shared" si="15"/>
        <v>0.71487459151947552</v>
      </c>
      <c r="P47" s="19">
        <f t="shared" si="18"/>
        <v>9.3466728974468685E-2</v>
      </c>
    </row>
    <row r="48" spans="1:35">
      <c r="A48" s="40">
        <v>27</v>
      </c>
      <c r="B48" s="40">
        <v>2</v>
      </c>
      <c r="L48">
        <f t="shared" si="16"/>
        <v>18</v>
      </c>
      <c r="M48">
        <f t="shared" si="17"/>
        <v>18</v>
      </c>
      <c r="N48" s="19">
        <f t="shared" si="14"/>
        <v>0.13074563018921109</v>
      </c>
      <c r="O48" s="19">
        <f t="shared" si="15"/>
        <v>0.61672421436916081</v>
      </c>
      <c r="P48" s="19">
        <f t="shared" si="18"/>
        <v>8.0633996060642046E-2</v>
      </c>
    </row>
    <row r="49" spans="1:18">
      <c r="A49" s="40">
        <v>28</v>
      </c>
      <c r="B49" s="40">
        <v>1</v>
      </c>
      <c r="L49">
        <f t="shared" si="16"/>
        <v>18.5</v>
      </c>
      <c r="M49">
        <f t="shared" si="17"/>
        <v>18.5</v>
      </c>
      <c r="N49" s="19">
        <f t="shared" si="14"/>
        <v>0.13074563018921109</v>
      </c>
      <c r="O49" s="19">
        <f t="shared" si="15"/>
        <v>0.51795320928390276</v>
      </c>
      <c r="P49" s="19">
        <f t="shared" si="18"/>
        <v>6.7720118756348202E-2</v>
      </c>
    </row>
    <row r="50" spans="1:18">
      <c r="A50" s="40">
        <v>29</v>
      </c>
      <c r="B50" s="40">
        <v>1</v>
      </c>
      <c r="L50">
        <f t="shared" si="16"/>
        <v>19</v>
      </c>
      <c r="M50">
        <f t="shared" si="17"/>
        <v>19</v>
      </c>
      <c r="N50" s="19">
        <f t="shared" si="14"/>
        <v>0.13074563018921109</v>
      </c>
      <c r="O50" s="19">
        <f t="shared" si="15"/>
        <v>0.42347565183457847</v>
      </c>
      <c r="P50" s="19">
        <f t="shared" si="18"/>
        <v>5.5367590968898907E-2</v>
      </c>
    </row>
    <row r="51" spans="1:18">
      <c r="A51" s="40">
        <v>30</v>
      </c>
      <c r="B51" s="40">
        <v>1</v>
      </c>
      <c r="C51" t="s">
        <v>358</v>
      </c>
      <c r="L51">
        <f t="shared" si="16"/>
        <v>19.5</v>
      </c>
      <c r="M51">
        <f t="shared" si="17"/>
        <v>19.5</v>
      </c>
      <c r="N51" s="19">
        <f t="shared" si="14"/>
        <v>0.13074563018921109</v>
      </c>
      <c r="O51" s="19">
        <f t="shared" si="15"/>
        <v>0.33705808649365426</v>
      </c>
      <c r="P51" s="19">
        <f t="shared" si="18"/>
        <v>4.4068871928982449E-2</v>
      </c>
    </row>
    <row r="52" spans="1:18">
      <c r="L52">
        <f t="shared" si="16"/>
        <v>20</v>
      </c>
      <c r="M52">
        <f t="shared" si="17"/>
        <v>20</v>
      </c>
      <c r="N52" s="19">
        <f t="shared" si="14"/>
        <v>0.13074563018921109</v>
      </c>
      <c r="O52" s="19">
        <f t="shared" si="15"/>
        <v>0.26116768868214868</v>
      </c>
      <c r="P52" s="19">
        <f t="shared" si="18"/>
        <v>3.4146534041807224E-2</v>
      </c>
    </row>
    <row r="53" spans="1:18">
      <c r="L53">
        <f t="shared" si="16"/>
        <v>20.5</v>
      </c>
      <c r="M53">
        <f t="shared" si="17"/>
        <v>20.5</v>
      </c>
      <c r="N53" s="19">
        <f t="shared" si="14"/>
        <v>0.13074563018921109</v>
      </c>
      <c r="O53" s="19">
        <f t="shared" si="15"/>
        <v>0.19700285912254842</v>
      </c>
      <c r="P53" s="19">
        <f t="shared" si="18"/>
        <v>2.5757262965053967E-2</v>
      </c>
    </row>
    <row r="54" spans="1:18">
      <c r="L54">
        <f t="shared" si="16"/>
        <v>21</v>
      </c>
      <c r="M54">
        <f t="shared" si="17"/>
        <v>21</v>
      </c>
      <c r="N54" s="19">
        <f t="shared" si="14"/>
        <v>0.13074563018921109</v>
      </c>
      <c r="O54" s="19">
        <f t="shared" si="15"/>
        <v>0.14466517663899506</v>
      </c>
      <c r="P54" s="19">
        <f t="shared" si="18"/>
        <v>1.8914339686098947E-2</v>
      </c>
    </row>
    <row r="55" spans="1:18">
      <c r="L55">
        <f t="shared" si="16"/>
        <v>21.5</v>
      </c>
      <c r="M55">
        <f t="shared" si="17"/>
        <v>21.5</v>
      </c>
      <c r="N55" s="19">
        <f t="shared" si="14"/>
        <v>0.13074563018921109</v>
      </c>
      <c r="O55" s="19">
        <f t="shared" si="15"/>
        <v>0.10341745905689438</v>
      </c>
      <c r="P55" s="19">
        <f t="shared" si="18"/>
        <v>1.3521380856960592E-2</v>
      </c>
    </row>
    <row r="56" spans="1:18">
      <c r="L56">
        <f t="shared" si="16"/>
        <v>22</v>
      </c>
      <c r="M56">
        <f t="shared" si="17"/>
        <v>22</v>
      </c>
      <c r="N56" s="19">
        <f t="shared" si="14"/>
        <v>0.13074563018921109</v>
      </c>
      <c r="O56" s="19">
        <f t="shared" si="15"/>
        <v>7.1971758391148832E-2</v>
      </c>
      <c r="P56" s="19">
        <f t="shared" si="18"/>
        <v>9.4099929066763961E-3</v>
      </c>
    </row>
    <row r="57" spans="1:18">
      <c r="L57">
        <f t="shared" si="16"/>
        <v>22.5</v>
      </c>
      <c r="M57">
        <f t="shared" si="17"/>
        <v>22.5</v>
      </c>
      <c r="N57" s="19">
        <f t="shared" si="14"/>
        <v>0.13074563018921109</v>
      </c>
      <c r="O57" s="19">
        <f t="shared" si="15"/>
        <v>4.8760567620206169E-2</v>
      </c>
      <c r="P57" s="19">
        <f t="shared" si="18"/>
        <v>6.3752311418874968E-3</v>
      </c>
      <c r="R57" t="s">
        <v>366</v>
      </c>
    </row>
    <row r="58" spans="1:18">
      <c r="L58">
        <f t="shared" si="16"/>
        <v>23</v>
      </c>
      <c r="M58">
        <f t="shared" si="17"/>
        <v>23</v>
      </c>
      <c r="N58" s="19">
        <f t="shared" si="14"/>
        <v>0.13074563018921109</v>
      </c>
      <c r="O58" s="19">
        <f t="shared" si="15"/>
        <v>3.2159832692355388E-2</v>
      </c>
      <c r="P58" s="19">
        <f t="shared" si="18"/>
        <v>4.2047575921415987E-3</v>
      </c>
      <c r="R58" t="s">
        <v>367</v>
      </c>
    </row>
    <row r="59" spans="1:18">
      <c r="L59">
        <f t="shared" si="16"/>
        <v>23.5</v>
      </c>
      <c r="M59">
        <f t="shared" si="17"/>
        <v>23.5</v>
      </c>
      <c r="N59" s="19">
        <f t="shared" si="14"/>
        <v>0.13074563018921109</v>
      </c>
      <c r="O59" s="19">
        <f t="shared" si="15"/>
        <v>2.0648913156790849E-2</v>
      </c>
      <c r="P59" s="19">
        <f t="shared" si="18"/>
        <v>2.6997551634069116E-3</v>
      </c>
    </row>
    <row r="60" spans="1:18">
      <c r="L60">
        <f t="shared" si="16"/>
        <v>24</v>
      </c>
      <c r="M60">
        <f t="shared" si="17"/>
        <v>24</v>
      </c>
      <c r="N60" s="19">
        <f t="shared" si="14"/>
        <v>0.13074563018921109</v>
      </c>
      <c r="O60" s="19">
        <f t="shared" si="15"/>
        <v>1.2906812580479862E-2</v>
      </c>
      <c r="P60" s="19">
        <f t="shared" si="18"/>
        <v>1.6875093445688774E-3</v>
      </c>
    </row>
    <row r="61" spans="1:18">
      <c r="L61">
        <f t="shared" si="16"/>
        <v>24.5</v>
      </c>
      <c r="M61">
        <f t="shared" si="17"/>
        <v>24.5</v>
      </c>
      <c r="N61" s="19">
        <f t="shared" si="14"/>
        <v>0.13074563018921109</v>
      </c>
      <c r="O61" s="19">
        <f t="shared" si="15"/>
        <v>7.8537884441049772E-3</v>
      </c>
      <c r="P61" s="19">
        <f t="shared" si="18"/>
        <v>1.0268485194972489E-3</v>
      </c>
    </row>
    <row r="62" spans="1:18">
      <c r="L62">
        <f t="shared" si="16"/>
        <v>25</v>
      </c>
      <c r="M62">
        <f t="shared" si="17"/>
        <v>25</v>
      </c>
      <c r="N62" s="19">
        <f t="shared" si="14"/>
        <v>0.13074563018921109</v>
      </c>
      <c r="O62" s="19">
        <f t="shared" si="15"/>
        <v>4.6524078771201221E-3</v>
      </c>
      <c r="P62" s="19">
        <f t="shared" si="18"/>
        <v>6.0828199979132017E-4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W28"/>
  <sheetViews>
    <sheetView workbookViewId="0"/>
  </sheetViews>
  <sheetFormatPr defaultRowHeight="13.5"/>
  <cols>
    <col min="1" max="2" width="9" style="6"/>
    <col min="3" max="4" width="9.25" style="6" bestFit="1" customWidth="1"/>
    <col min="5" max="22" width="9.125" style="6" bestFit="1" customWidth="1"/>
    <col min="23" max="16384" width="9" style="6"/>
  </cols>
  <sheetData>
    <row r="2" spans="1:23">
      <c r="A2" s="6" t="s">
        <v>281</v>
      </c>
    </row>
    <row r="4" spans="1:23">
      <c r="B4" s="6" t="s">
        <v>275</v>
      </c>
    </row>
    <row r="5" spans="1:23">
      <c r="B5" s="29" t="s">
        <v>270</v>
      </c>
    </row>
    <row r="6" spans="1:23">
      <c r="B6" s="9">
        <v>1000</v>
      </c>
      <c r="G6" s="6" t="s">
        <v>271</v>
      </c>
    </row>
    <row r="7" spans="1:23">
      <c r="B7" s="4"/>
      <c r="C7" s="62">
        <v>0</v>
      </c>
      <c r="D7" s="62">
        <f t="shared" ref="D7:V7" si="0">C7+0.05</f>
        <v>0.05</v>
      </c>
      <c r="E7" s="62">
        <f t="shared" si="0"/>
        <v>0.1</v>
      </c>
      <c r="F7" s="62">
        <f t="shared" si="0"/>
        <v>0.15000000000000002</v>
      </c>
      <c r="G7" s="62">
        <f t="shared" si="0"/>
        <v>0.2</v>
      </c>
      <c r="H7" s="62">
        <f t="shared" si="0"/>
        <v>0.25</v>
      </c>
      <c r="I7" s="62">
        <f t="shared" si="0"/>
        <v>0.3</v>
      </c>
      <c r="J7" s="62">
        <f t="shared" si="0"/>
        <v>0.35</v>
      </c>
      <c r="K7" s="62">
        <f t="shared" si="0"/>
        <v>0.39999999999999997</v>
      </c>
      <c r="L7" s="62">
        <f t="shared" si="0"/>
        <v>0.44999999999999996</v>
      </c>
      <c r="M7" s="62">
        <f t="shared" si="0"/>
        <v>0.49999999999999994</v>
      </c>
      <c r="N7" s="62">
        <f t="shared" si="0"/>
        <v>0.54999999999999993</v>
      </c>
      <c r="O7" s="62">
        <f t="shared" si="0"/>
        <v>0.6</v>
      </c>
      <c r="P7" s="62">
        <f t="shared" si="0"/>
        <v>0.65</v>
      </c>
      <c r="Q7" s="62">
        <f t="shared" si="0"/>
        <v>0.70000000000000007</v>
      </c>
      <c r="R7" s="62">
        <f t="shared" si="0"/>
        <v>0.75000000000000011</v>
      </c>
      <c r="S7" s="62">
        <f t="shared" si="0"/>
        <v>0.80000000000000016</v>
      </c>
      <c r="T7" s="62">
        <f t="shared" si="0"/>
        <v>0.8500000000000002</v>
      </c>
      <c r="U7" s="62">
        <f t="shared" si="0"/>
        <v>0.90000000000000024</v>
      </c>
      <c r="V7" s="62">
        <f t="shared" si="0"/>
        <v>0.95000000000000029</v>
      </c>
      <c r="W7" s="6" t="s">
        <v>274</v>
      </c>
    </row>
    <row r="8" spans="1:23">
      <c r="B8" s="62">
        <v>0.05</v>
      </c>
      <c r="C8" s="1">
        <f>$B$6/($B8*(1-C$7))</f>
        <v>20000</v>
      </c>
      <c r="D8" s="1">
        <f t="shared" ref="D8:S23" si="1">$B$6/($B8*(1-D$7))</f>
        <v>21052.631578947367</v>
      </c>
      <c r="E8" s="1">
        <f t="shared" si="1"/>
        <v>22222.222222222219</v>
      </c>
      <c r="F8" s="1">
        <f t="shared" si="1"/>
        <v>23529.411764705881</v>
      </c>
      <c r="G8" s="43">
        <f t="shared" si="1"/>
        <v>24999.999999999996</v>
      </c>
      <c r="H8" s="1">
        <f t="shared" si="1"/>
        <v>26666.666666666664</v>
      </c>
      <c r="I8" s="1">
        <f t="shared" si="1"/>
        <v>28571.428571428576</v>
      </c>
      <c r="J8" s="1">
        <f t="shared" si="1"/>
        <v>30769.23076923077</v>
      </c>
      <c r="K8" s="1">
        <f t="shared" si="1"/>
        <v>33333.333333333328</v>
      </c>
      <c r="L8" s="1">
        <f t="shared" si="1"/>
        <v>36363.63636363636</v>
      </c>
      <c r="M8" s="1">
        <f t="shared" si="1"/>
        <v>40000</v>
      </c>
      <c r="N8" s="1">
        <f t="shared" si="1"/>
        <v>44444.444444444431</v>
      </c>
      <c r="O8" s="1">
        <f t="shared" si="1"/>
        <v>49999.999999999993</v>
      </c>
      <c r="P8" s="1">
        <f t="shared" si="1"/>
        <v>57142.857142857152</v>
      </c>
      <c r="Q8" s="1">
        <f t="shared" si="1"/>
        <v>66666.666666666672</v>
      </c>
      <c r="R8" s="1">
        <f t="shared" si="1"/>
        <v>80000.000000000029</v>
      </c>
      <c r="S8" s="1">
        <f t="shared" si="1"/>
        <v>100000.00000000007</v>
      </c>
      <c r="T8" s="1">
        <f t="shared" ref="T8:V27" si="2">$B$6/($B8*(1-T$7))</f>
        <v>133333.33333333352</v>
      </c>
      <c r="U8" s="1">
        <f t="shared" si="2"/>
        <v>200000.00000000049</v>
      </c>
      <c r="V8" s="1">
        <f t="shared" si="2"/>
        <v>400000.00000000227</v>
      </c>
    </row>
    <row r="9" spans="1:23">
      <c r="B9" s="62">
        <f t="shared" ref="B9:B27" si="3">B8+0.05</f>
        <v>0.1</v>
      </c>
      <c r="C9" s="1">
        <f t="shared" ref="C9:R24" si="4">$B$6/($B9*(1-C$7))</f>
        <v>10000</v>
      </c>
      <c r="D9" s="1">
        <f t="shared" si="1"/>
        <v>10526.315789473683</v>
      </c>
      <c r="E9" s="1">
        <f t="shared" si="1"/>
        <v>11111.111111111109</v>
      </c>
      <c r="F9" s="1">
        <f t="shared" si="1"/>
        <v>11764.705882352941</v>
      </c>
      <c r="G9" s="43">
        <f t="shared" si="1"/>
        <v>12499.999999999998</v>
      </c>
      <c r="H9" s="1">
        <f t="shared" si="1"/>
        <v>13333.333333333332</v>
      </c>
      <c r="I9" s="1">
        <f t="shared" si="1"/>
        <v>14285.714285714288</v>
      </c>
      <c r="J9" s="1">
        <f t="shared" si="1"/>
        <v>15384.615384615385</v>
      </c>
      <c r="K9" s="1">
        <f t="shared" si="1"/>
        <v>16666.666666666664</v>
      </c>
      <c r="L9" s="1">
        <f t="shared" si="1"/>
        <v>18181.81818181818</v>
      </c>
      <c r="M9" s="1">
        <f t="shared" si="1"/>
        <v>20000</v>
      </c>
      <c r="N9" s="1">
        <f t="shared" si="1"/>
        <v>22222.222222222215</v>
      </c>
      <c r="O9" s="1">
        <f t="shared" si="1"/>
        <v>24999.999999999996</v>
      </c>
      <c r="P9" s="1">
        <f t="shared" si="1"/>
        <v>28571.428571428576</v>
      </c>
      <c r="Q9" s="1">
        <f t="shared" si="1"/>
        <v>33333.333333333336</v>
      </c>
      <c r="R9" s="1">
        <f t="shared" si="1"/>
        <v>40000.000000000015</v>
      </c>
      <c r="S9" s="1">
        <f t="shared" si="1"/>
        <v>50000.000000000036</v>
      </c>
      <c r="T9" s="1">
        <f t="shared" si="2"/>
        <v>66666.666666666759</v>
      </c>
      <c r="U9" s="1">
        <f t="shared" si="2"/>
        <v>100000.00000000025</v>
      </c>
      <c r="V9" s="1">
        <f t="shared" si="2"/>
        <v>200000.00000000114</v>
      </c>
    </row>
    <row r="10" spans="1:23">
      <c r="B10" s="62">
        <f t="shared" si="3"/>
        <v>0.15000000000000002</v>
      </c>
      <c r="C10" s="1">
        <f t="shared" si="4"/>
        <v>6666.6666666666661</v>
      </c>
      <c r="D10" s="1">
        <f t="shared" si="1"/>
        <v>7017.5438596491222</v>
      </c>
      <c r="E10" s="1">
        <f t="shared" si="1"/>
        <v>7407.4074074074051</v>
      </c>
      <c r="F10" s="1">
        <f t="shared" si="1"/>
        <v>7843.1372549019607</v>
      </c>
      <c r="G10" s="43">
        <f t="shared" si="1"/>
        <v>8333.3333333333321</v>
      </c>
      <c r="H10" s="1">
        <f t="shared" si="1"/>
        <v>8888.8888888888869</v>
      </c>
      <c r="I10" s="1">
        <f t="shared" si="1"/>
        <v>9523.8095238095229</v>
      </c>
      <c r="J10" s="1">
        <f t="shared" si="1"/>
        <v>10256.410256410254</v>
      </c>
      <c r="K10" s="1">
        <f t="shared" si="1"/>
        <v>11111.111111111108</v>
      </c>
      <c r="L10" s="1">
        <f t="shared" si="1"/>
        <v>12121.212121212118</v>
      </c>
      <c r="M10" s="1">
        <f t="shared" si="1"/>
        <v>13333.333333333332</v>
      </c>
      <c r="N10" s="1">
        <f t="shared" si="1"/>
        <v>14814.81481481481</v>
      </c>
      <c r="O10" s="1">
        <f t="shared" si="1"/>
        <v>16666.666666666664</v>
      </c>
      <c r="P10" s="1">
        <f t="shared" si="1"/>
        <v>19047.619047619046</v>
      </c>
      <c r="Q10" s="1">
        <f t="shared" si="1"/>
        <v>22222.222222222223</v>
      </c>
      <c r="R10" s="1">
        <f t="shared" si="1"/>
        <v>26666.666666666672</v>
      </c>
      <c r="S10" s="1">
        <f t="shared" si="1"/>
        <v>33333.33333333335</v>
      </c>
      <c r="T10" s="1">
        <f t="shared" si="2"/>
        <v>44444.444444444496</v>
      </c>
      <c r="U10" s="1">
        <f t="shared" si="2"/>
        <v>66666.666666666817</v>
      </c>
      <c r="V10" s="1">
        <f t="shared" si="2"/>
        <v>133333.33333333407</v>
      </c>
    </row>
    <row r="11" spans="1:23">
      <c r="B11" s="62">
        <f t="shared" si="3"/>
        <v>0.2</v>
      </c>
      <c r="C11" s="1">
        <f t="shared" si="4"/>
        <v>5000</v>
      </c>
      <c r="D11" s="1">
        <f t="shared" si="1"/>
        <v>5263.1578947368416</v>
      </c>
      <c r="E11" s="1">
        <f t="shared" si="1"/>
        <v>5555.5555555555547</v>
      </c>
      <c r="F11" s="1">
        <f t="shared" si="1"/>
        <v>5882.3529411764703</v>
      </c>
      <c r="G11" s="43">
        <f t="shared" si="1"/>
        <v>6249.9999999999991</v>
      </c>
      <c r="H11" s="1">
        <f t="shared" si="1"/>
        <v>6666.6666666666661</v>
      </c>
      <c r="I11" s="1">
        <f t="shared" si="1"/>
        <v>7142.857142857144</v>
      </c>
      <c r="J11" s="1">
        <f t="shared" si="1"/>
        <v>7692.3076923076924</v>
      </c>
      <c r="K11" s="1">
        <f t="shared" si="1"/>
        <v>8333.3333333333321</v>
      </c>
      <c r="L11" s="1">
        <f t="shared" si="1"/>
        <v>9090.9090909090901</v>
      </c>
      <c r="M11" s="1">
        <f t="shared" si="1"/>
        <v>10000</v>
      </c>
      <c r="N11" s="1">
        <f t="shared" si="1"/>
        <v>11111.111111111108</v>
      </c>
      <c r="O11" s="1">
        <f t="shared" si="1"/>
        <v>12499.999999999998</v>
      </c>
      <c r="P11" s="1">
        <f t="shared" si="1"/>
        <v>14285.714285714288</v>
      </c>
      <c r="Q11" s="1">
        <f t="shared" si="1"/>
        <v>16666.666666666668</v>
      </c>
      <c r="R11" s="1">
        <f t="shared" si="1"/>
        <v>20000.000000000007</v>
      </c>
      <c r="S11" s="1">
        <f t="shared" si="1"/>
        <v>25000.000000000018</v>
      </c>
      <c r="T11" s="1">
        <f t="shared" si="2"/>
        <v>33333.333333333379</v>
      </c>
      <c r="U11" s="1">
        <f t="shared" si="2"/>
        <v>50000.000000000124</v>
      </c>
      <c r="V11" s="1">
        <f t="shared" si="2"/>
        <v>100000.00000000057</v>
      </c>
    </row>
    <row r="12" spans="1:23">
      <c r="B12" s="62">
        <f t="shared" si="3"/>
        <v>0.25</v>
      </c>
      <c r="C12" s="1">
        <f t="shared" si="4"/>
        <v>4000</v>
      </c>
      <c r="D12" s="1">
        <f t="shared" si="1"/>
        <v>4210.5263157894742</v>
      </c>
      <c r="E12" s="1">
        <f t="shared" si="1"/>
        <v>4444.4444444444443</v>
      </c>
      <c r="F12" s="1">
        <f t="shared" si="1"/>
        <v>4705.8823529411766</v>
      </c>
      <c r="G12" s="43">
        <f t="shared" si="1"/>
        <v>5000</v>
      </c>
      <c r="H12" s="1">
        <f t="shared" si="1"/>
        <v>5333.333333333333</v>
      </c>
      <c r="I12" s="1">
        <f t="shared" si="1"/>
        <v>5714.2857142857147</v>
      </c>
      <c r="J12" s="1">
        <f t="shared" si="1"/>
        <v>6153.8461538461534</v>
      </c>
      <c r="K12" s="1">
        <f t="shared" si="1"/>
        <v>6666.6666666666661</v>
      </c>
      <c r="L12" s="1">
        <f t="shared" si="1"/>
        <v>7272.7272727272721</v>
      </c>
      <c r="M12" s="1">
        <f t="shared" si="1"/>
        <v>8000</v>
      </c>
      <c r="N12" s="1">
        <f t="shared" si="1"/>
        <v>8888.8888888888869</v>
      </c>
      <c r="O12" s="1">
        <f t="shared" si="1"/>
        <v>10000</v>
      </c>
      <c r="P12" s="1">
        <f t="shared" si="1"/>
        <v>11428.571428571429</v>
      </c>
      <c r="Q12" s="1">
        <f t="shared" si="1"/>
        <v>13333.333333333336</v>
      </c>
      <c r="R12" s="1">
        <f t="shared" si="1"/>
        <v>16000.000000000007</v>
      </c>
      <c r="S12" s="1">
        <f t="shared" si="1"/>
        <v>20000.000000000015</v>
      </c>
      <c r="T12" s="1">
        <f t="shared" si="2"/>
        <v>26666.666666666701</v>
      </c>
      <c r="U12" s="1">
        <f t="shared" si="2"/>
        <v>40000.000000000095</v>
      </c>
      <c r="V12" s="1">
        <f t="shared" si="2"/>
        <v>80000.000000000466</v>
      </c>
    </row>
    <row r="13" spans="1:23">
      <c r="B13" s="62">
        <f t="shared" si="3"/>
        <v>0.3</v>
      </c>
      <c r="C13" s="1">
        <f t="shared" si="4"/>
        <v>3333.3333333333335</v>
      </c>
      <c r="D13" s="1">
        <f t="shared" si="1"/>
        <v>3508.7719298245615</v>
      </c>
      <c r="E13" s="1">
        <f t="shared" si="1"/>
        <v>3703.7037037037035</v>
      </c>
      <c r="F13" s="1">
        <f t="shared" si="1"/>
        <v>3921.5686274509803</v>
      </c>
      <c r="G13" s="43">
        <f t="shared" si="1"/>
        <v>4166.666666666667</v>
      </c>
      <c r="H13" s="1">
        <f t="shared" si="1"/>
        <v>4444.4444444444453</v>
      </c>
      <c r="I13" s="1">
        <f t="shared" si="1"/>
        <v>4761.9047619047624</v>
      </c>
      <c r="J13" s="1">
        <f t="shared" si="1"/>
        <v>5128.2051282051279</v>
      </c>
      <c r="K13" s="1">
        <f t="shared" si="1"/>
        <v>5555.5555555555547</v>
      </c>
      <c r="L13" s="1">
        <f t="shared" si="1"/>
        <v>6060.6060606060601</v>
      </c>
      <c r="M13" s="1">
        <f t="shared" si="1"/>
        <v>6666.666666666667</v>
      </c>
      <c r="N13" s="1">
        <f t="shared" si="1"/>
        <v>7407.4074074074069</v>
      </c>
      <c r="O13" s="1">
        <f t="shared" si="1"/>
        <v>8333.3333333333339</v>
      </c>
      <c r="P13" s="1">
        <f t="shared" si="1"/>
        <v>9523.8095238095248</v>
      </c>
      <c r="Q13" s="1">
        <f t="shared" si="1"/>
        <v>11111.111111111113</v>
      </c>
      <c r="R13" s="1">
        <f t="shared" si="1"/>
        <v>13333.333333333339</v>
      </c>
      <c r="S13" s="1">
        <f t="shared" si="1"/>
        <v>16666.666666666682</v>
      </c>
      <c r="T13" s="1">
        <f t="shared" si="2"/>
        <v>22222.222222222255</v>
      </c>
      <c r="U13" s="1">
        <f t="shared" si="2"/>
        <v>33333.333333333416</v>
      </c>
      <c r="V13" s="1">
        <f t="shared" si="2"/>
        <v>66666.66666666705</v>
      </c>
    </row>
    <row r="14" spans="1:23">
      <c r="B14" s="62">
        <f t="shared" si="3"/>
        <v>0.35</v>
      </c>
      <c r="C14" s="1">
        <f t="shared" si="4"/>
        <v>2857.1428571428573</v>
      </c>
      <c r="D14" s="1">
        <f t="shared" si="1"/>
        <v>3007.5187969924814</v>
      </c>
      <c r="E14" s="1">
        <f t="shared" si="1"/>
        <v>3174.6031746031745</v>
      </c>
      <c r="F14" s="1">
        <f t="shared" si="1"/>
        <v>3361.3445378151264</v>
      </c>
      <c r="G14" s="43">
        <f t="shared" si="1"/>
        <v>3571.428571428572</v>
      </c>
      <c r="H14" s="1">
        <f t="shared" si="1"/>
        <v>3809.5238095238101</v>
      </c>
      <c r="I14" s="1">
        <f t="shared" si="1"/>
        <v>4081.632653061225</v>
      </c>
      <c r="J14" s="1">
        <f t="shared" si="1"/>
        <v>4395.6043956043959</v>
      </c>
      <c r="K14" s="1">
        <f t="shared" si="1"/>
        <v>4761.9047619047615</v>
      </c>
      <c r="L14" s="1">
        <f t="shared" si="1"/>
        <v>5194.8051948051943</v>
      </c>
      <c r="M14" s="1">
        <f t="shared" si="1"/>
        <v>5714.2857142857147</v>
      </c>
      <c r="N14" s="1">
        <f t="shared" si="1"/>
        <v>6349.2063492063489</v>
      </c>
      <c r="O14" s="1">
        <f t="shared" si="1"/>
        <v>7142.857142857144</v>
      </c>
      <c r="P14" s="1">
        <f t="shared" si="1"/>
        <v>8163.2653061224501</v>
      </c>
      <c r="Q14" s="1">
        <f t="shared" si="1"/>
        <v>9523.8095238095266</v>
      </c>
      <c r="R14" s="1">
        <f t="shared" si="1"/>
        <v>11428.571428571435</v>
      </c>
      <c r="S14" s="1">
        <f t="shared" si="1"/>
        <v>14285.714285714299</v>
      </c>
      <c r="T14" s="1">
        <f t="shared" si="2"/>
        <v>19047.619047619075</v>
      </c>
      <c r="U14" s="1">
        <f t="shared" si="2"/>
        <v>28571.428571428642</v>
      </c>
      <c r="V14" s="1">
        <f t="shared" si="2"/>
        <v>57142.85714285748</v>
      </c>
    </row>
    <row r="15" spans="1:23">
      <c r="A15" s="6" t="s">
        <v>272</v>
      </c>
      <c r="B15" s="62">
        <f t="shared" si="3"/>
        <v>0.39999999999999997</v>
      </c>
      <c r="C15" s="43">
        <f t="shared" si="4"/>
        <v>2500</v>
      </c>
      <c r="D15" s="43">
        <f t="shared" si="1"/>
        <v>2631.5789473684213</v>
      </c>
      <c r="E15" s="43">
        <f t="shared" si="1"/>
        <v>2777.7777777777778</v>
      </c>
      <c r="F15" s="43">
        <f t="shared" si="1"/>
        <v>2941.1764705882356</v>
      </c>
      <c r="G15" s="44">
        <f t="shared" si="1"/>
        <v>3125</v>
      </c>
      <c r="H15" s="43">
        <f t="shared" si="1"/>
        <v>3333.3333333333335</v>
      </c>
      <c r="I15" s="43">
        <f t="shared" si="1"/>
        <v>3571.428571428572</v>
      </c>
      <c r="J15" s="43">
        <f t="shared" si="1"/>
        <v>3846.1538461538462</v>
      </c>
      <c r="K15" s="43">
        <f t="shared" si="1"/>
        <v>4166.6666666666661</v>
      </c>
      <c r="L15" s="43">
        <f t="shared" si="1"/>
        <v>4545.454545454545</v>
      </c>
      <c r="M15" s="43">
        <f t="shared" si="1"/>
        <v>5000</v>
      </c>
      <c r="N15" s="43">
        <f t="shared" si="1"/>
        <v>5555.5555555555547</v>
      </c>
      <c r="O15" s="43">
        <f t="shared" si="1"/>
        <v>6250</v>
      </c>
      <c r="P15" s="43">
        <f t="shared" si="1"/>
        <v>7142.857142857144</v>
      </c>
      <c r="Q15" s="43">
        <f t="shared" si="1"/>
        <v>8333.3333333333358</v>
      </c>
      <c r="R15" s="43">
        <f t="shared" si="1"/>
        <v>10000.000000000005</v>
      </c>
      <c r="S15" s="43">
        <f t="shared" si="1"/>
        <v>12500.000000000011</v>
      </c>
      <c r="T15" s="43">
        <f t="shared" si="2"/>
        <v>16666.66666666669</v>
      </c>
      <c r="U15" s="43">
        <f t="shared" si="2"/>
        <v>25000.000000000065</v>
      </c>
      <c r="V15" s="43">
        <f t="shared" si="2"/>
        <v>50000.000000000291</v>
      </c>
    </row>
    <row r="16" spans="1:23">
      <c r="B16" s="62">
        <f t="shared" si="3"/>
        <v>0.44999999999999996</v>
      </c>
      <c r="C16" s="1">
        <f t="shared" si="4"/>
        <v>2222.2222222222226</v>
      </c>
      <c r="D16" s="1">
        <f t="shared" si="1"/>
        <v>2339.1812865497081</v>
      </c>
      <c r="E16" s="1">
        <f t="shared" si="1"/>
        <v>2469.1358024691358</v>
      </c>
      <c r="F16" s="1">
        <f t="shared" si="1"/>
        <v>2614.3790849673205</v>
      </c>
      <c r="G16" s="43">
        <f t="shared" si="1"/>
        <v>2777.7777777777778</v>
      </c>
      <c r="H16" s="1">
        <f t="shared" si="1"/>
        <v>2962.962962962963</v>
      </c>
      <c r="I16" s="1">
        <f t="shared" si="1"/>
        <v>3174.6031746031749</v>
      </c>
      <c r="J16" s="1">
        <f t="shared" si="1"/>
        <v>3418.8034188034189</v>
      </c>
      <c r="K16" s="1">
        <f t="shared" si="1"/>
        <v>3703.7037037037035</v>
      </c>
      <c r="L16" s="1">
        <f t="shared" si="1"/>
        <v>4040.4040404040406</v>
      </c>
      <c r="M16" s="1">
        <f t="shared" si="1"/>
        <v>4444.4444444444453</v>
      </c>
      <c r="N16" s="1">
        <f t="shared" si="1"/>
        <v>4938.2716049382716</v>
      </c>
      <c r="O16" s="1">
        <f t="shared" si="1"/>
        <v>5555.5555555555557</v>
      </c>
      <c r="P16" s="1">
        <f t="shared" si="1"/>
        <v>6349.2063492063498</v>
      </c>
      <c r="Q16" s="1">
        <f t="shared" si="1"/>
        <v>7407.4074074074097</v>
      </c>
      <c r="R16" s="1">
        <f t="shared" si="1"/>
        <v>8888.8888888888941</v>
      </c>
      <c r="S16" s="1">
        <f t="shared" si="1"/>
        <v>11111.11111111112</v>
      </c>
      <c r="T16" s="1">
        <f t="shared" si="2"/>
        <v>14814.814814814836</v>
      </c>
      <c r="U16" s="1">
        <f t="shared" si="2"/>
        <v>22222.222222222277</v>
      </c>
      <c r="V16" s="1">
        <f t="shared" si="2"/>
        <v>44444.444444444707</v>
      </c>
    </row>
    <row r="17" spans="2:22">
      <c r="B17" s="62">
        <f t="shared" si="3"/>
        <v>0.49999999999999994</v>
      </c>
      <c r="C17" s="1">
        <f t="shared" si="4"/>
        <v>2000.0000000000002</v>
      </c>
      <c r="D17" s="1">
        <f t="shared" si="1"/>
        <v>2105.2631578947371</v>
      </c>
      <c r="E17" s="1">
        <f t="shared" si="1"/>
        <v>2222.2222222222226</v>
      </c>
      <c r="F17" s="1">
        <f t="shared" si="1"/>
        <v>2352.9411764705887</v>
      </c>
      <c r="G17" s="43">
        <f t="shared" si="1"/>
        <v>2500</v>
      </c>
      <c r="H17" s="1">
        <f t="shared" si="1"/>
        <v>2666.666666666667</v>
      </c>
      <c r="I17" s="1">
        <f t="shared" si="1"/>
        <v>2857.1428571428578</v>
      </c>
      <c r="J17" s="1">
        <f t="shared" si="1"/>
        <v>3076.9230769230771</v>
      </c>
      <c r="K17" s="1">
        <f t="shared" si="1"/>
        <v>3333.3333333333335</v>
      </c>
      <c r="L17" s="1">
        <f t="shared" si="1"/>
        <v>3636.3636363636369</v>
      </c>
      <c r="M17" s="1">
        <f t="shared" si="1"/>
        <v>4000.0000000000005</v>
      </c>
      <c r="N17" s="1">
        <f t="shared" si="1"/>
        <v>4444.4444444444443</v>
      </c>
      <c r="O17" s="1">
        <f t="shared" si="1"/>
        <v>5000</v>
      </c>
      <c r="P17" s="1">
        <f t="shared" si="1"/>
        <v>5714.2857142857156</v>
      </c>
      <c r="Q17" s="1">
        <f t="shared" si="1"/>
        <v>6666.6666666666697</v>
      </c>
      <c r="R17" s="1">
        <f t="shared" si="1"/>
        <v>8000.0000000000045</v>
      </c>
      <c r="S17" s="1">
        <f t="shared" si="1"/>
        <v>10000.000000000009</v>
      </c>
      <c r="T17" s="1">
        <f t="shared" si="2"/>
        <v>13333.333333333354</v>
      </c>
      <c r="U17" s="1">
        <f t="shared" si="2"/>
        <v>20000.000000000051</v>
      </c>
      <c r="V17" s="1">
        <f t="shared" si="2"/>
        <v>40000.00000000024</v>
      </c>
    </row>
    <row r="18" spans="2:22">
      <c r="B18" s="62">
        <f t="shared" si="3"/>
        <v>0.54999999999999993</v>
      </c>
      <c r="C18" s="1">
        <f t="shared" si="4"/>
        <v>1818.1818181818185</v>
      </c>
      <c r="D18" s="1">
        <f t="shared" si="1"/>
        <v>1913.8755980861245</v>
      </c>
      <c r="E18" s="1">
        <f t="shared" si="1"/>
        <v>2020.2020202020205</v>
      </c>
      <c r="F18" s="1">
        <f t="shared" si="1"/>
        <v>2139.0374331550806</v>
      </c>
      <c r="G18" s="43">
        <f t="shared" si="1"/>
        <v>2272.727272727273</v>
      </c>
      <c r="H18" s="1">
        <f t="shared" si="1"/>
        <v>2424.2424242424245</v>
      </c>
      <c r="I18" s="1">
        <f t="shared" si="1"/>
        <v>2597.4025974025976</v>
      </c>
      <c r="J18" s="1">
        <f t="shared" si="1"/>
        <v>2797.2027972027972</v>
      </c>
      <c r="K18" s="1">
        <f t="shared" si="1"/>
        <v>3030.30303030303</v>
      </c>
      <c r="L18" s="1">
        <f t="shared" si="1"/>
        <v>3305.7851239669421</v>
      </c>
      <c r="M18" s="1">
        <f t="shared" si="1"/>
        <v>3636.3636363636369</v>
      </c>
      <c r="N18" s="1">
        <f t="shared" si="1"/>
        <v>4040.4040404040406</v>
      </c>
      <c r="O18" s="1">
        <f t="shared" si="1"/>
        <v>4545.454545454546</v>
      </c>
      <c r="P18" s="1">
        <f t="shared" si="1"/>
        <v>5194.8051948051952</v>
      </c>
      <c r="Q18" s="1">
        <f t="shared" si="1"/>
        <v>6060.6060606060628</v>
      </c>
      <c r="R18" s="1">
        <f t="shared" si="1"/>
        <v>7272.7272727272766</v>
      </c>
      <c r="S18" s="1">
        <f t="shared" si="1"/>
        <v>9090.9090909090992</v>
      </c>
      <c r="T18" s="1">
        <f t="shared" si="2"/>
        <v>12121.212121212138</v>
      </c>
      <c r="U18" s="1">
        <f t="shared" si="2"/>
        <v>18181.818181818227</v>
      </c>
      <c r="V18" s="1">
        <f t="shared" si="2"/>
        <v>36363.636363636579</v>
      </c>
    </row>
    <row r="19" spans="2:22">
      <c r="B19" s="62">
        <f t="shared" si="3"/>
        <v>0.6</v>
      </c>
      <c r="C19" s="1">
        <f t="shared" si="4"/>
        <v>1666.6666666666667</v>
      </c>
      <c r="D19" s="1">
        <f t="shared" si="1"/>
        <v>1754.3859649122808</v>
      </c>
      <c r="E19" s="1">
        <f t="shared" si="1"/>
        <v>1851.8518518518517</v>
      </c>
      <c r="F19" s="1">
        <f t="shared" si="1"/>
        <v>1960.7843137254902</v>
      </c>
      <c r="G19" s="43">
        <f t="shared" si="1"/>
        <v>2083.3333333333335</v>
      </c>
      <c r="H19" s="1">
        <f t="shared" si="1"/>
        <v>2222.2222222222226</v>
      </c>
      <c r="I19" s="1">
        <f t="shared" si="1"/>
        <v>2380.9523809523812</v>
      </c>
      <c r="J19" s="1">
        <f t="shared" si="1"/>
        <v>2564.102564102564</v>
      </c>
      <c r="K19" s="1">
        <f t="shared" si="1"/>
        <v>2777.7777777777774</v>
      </c>
      <c r="L19" s="1">
        <f t="shared" si="1"/>
        <v>3030.30303030303</v>
      </c>
      <c r="M19" s="1">
        <f t="shared" si="1"/>
        <v>3333.3333333333335</v>
      </c>
      <c r="N19" s="1">
        <f t="shared" si="1"/>
        <v>3703.7037037037035</v>
      </c>
      <c r="O19" s="1">
        <f t="shared" si="1"/>
        <v>4166.666666666667</v>
      </c>
      <c r="P19" s="1">
        <f t="shared" si="1"/>
        <v>4761.9047619047624</v>
      </c>
      <c r="Q19" s="1">
        <f t="shared" si="1"/>
        <v>5555.5555555555566</v>
      </c>
      <c r="R19" s="1">
        <f t="shared" si="1"/>
        <v>6666.6666666666697</v>
      </c>
      <c r="S19" s="1">
        <f t="shared" si="1"/>
        <v>8333.3333333333412</v>
      </c>
      <c r="T19" s="1">
        <f t="shared" si="2"/>
        <v>11111.111111111128</v>
      </c>
      <c r="U19" s="1">
        <f t="shared" si="2"/>
        <v>16666.666666666708</v>
      </c>
      <c r="V19" s="1">
        <f t="shared" si="2"/>
        <v>33333.333333333525</v>
      </c>
    </row>
    <row r="20" spans="2:22">
      <c r="B20" s="62">
        <f t="shared" si="3"/>
        <v>0.65</v>
      </c>
      <c r="C20" s="1">
        <f t="shared" si="4"/>
        <v>1538.4615384615383</v>
      </c>
      <c r="D20" s="1">
        <f t="shared" si="1"/>
        <v>1619.4331983805669</v>
      </c>
      <c r="E20" s="1">
        <f t="shared" si="1"/>
        <v>1709.4017094017092</v>
      </c>
      <c r="F20" s="1">
        <f t="shared" si="1"/>
        <v>1809.9547511312217</v>
      </c>
      <c r="G20" s="43">
        <f t="shared" si="1"/>
        <v>1923.0769230769231</v>
      </c>
      <c r="H20" s="1">
        <f t="shared" si="1"/>
        <v>2051.2820512820513</v>
      </c>
      <c r="I20" s="1">
        <f t="shared" si="1"/>
        <v>2197.802197802198</v>
      </c>
      <c r="J20" s="1">
        <f t="shared" si="1"/>
        <v>2366.8639053254437</v>
      </c>
      <c r="K20" s="1">
        <f t="shared" si="1"/>
        <v>2564.1025641025635</v>
      </c>
      <c r="L20" s="1">
        <f t="shared" si="1"/>
        <v>2797.2027972027968</v>
      </c>
      <c r="M20" s="1">
        <f t="shared" si="1"/>
        <v>3076.9230769230767</v>
      </c>
      <c r="N20" s="1">
        <f t="shared" si="1"/>
        <v>3418.8034188034185</v>
      </c>
      <c r="O20" s="1">
        <f t="shared" si="1"/>
        <v>3846.1538461538462</v>
      </c>
      <c r="P20" s="1">
        <f t="shared" si="1"/>
        <v>4395.6043956043959</v>
      </c>
      <c r="Q20" s="1">
        <f t="shared" si="1"/>
        <v>5128.2051282051298</v>
      </c>
      <c r="R20" s="1">
        <f t="shared" si="1"/>
        <v>6153.846153846157</v>
      </c>
      <c r="S20" s="1">
        <f t="shared" si="1"/>
        <v>7692.3076923076987</v>
      </c>
      <c r="T20" s="1">
        <f t="shared" si="2"/>
        <v>10256.410256410269</v>
      </c>
      <c r="U20" s="1">
        <f t="shared" si="2"/>
        <v>15384.615384615419</v>
      </c>
      <c r="V20" s="1">
        <f t="shared" si="2"/>
        <v>30769.230769230944</v>
      </c>
    </row>
    <row r="21" spans="2:22">
      <c r="B21" s="62">
        <f t="shared" si="3"/>
        <v>0.70000000000000007</v>
      </c>
      <c r="C21" s="1">
        <f t="shared" si="4"/>
        <v>1428.5714285714284</v>
      </c>
      <c r="D21" s="1">
        <f t="shared" si="1"/>
        <v>1503.7593984962405</v>
      </c>
      <c r="E21" s="1">
        <f t="shared" si="1"/>
        <v>1587.301587301587</v>
      </c>
      <c r="F21" s="1">
        <f t="shared" si="1"/>
        <v>1680.6722689075627</v>
      </c>
      <c r="G21" s="43">
        <f t="shared" si="1"/>
        <v>1785.7142857142856</v>
      </c>
      <c r="H21" s="1">
        <f t="shared" si="1"/>
        <v>1904.7619047619046</v>
      </c>
      <c r="I21" s="1">
        <f t="shared" si="1"/>
        <v>2040.8163265306123</v>
      </c>
      <c r="J21" s="1">
        <f t="shared" si="1"/>
        <v>2197.8021978021975</v>
      </c>
      <c r="K21" s="1">
        <f t="shared" si="1"/>
        <v>2380.9523809523803</v>
      </c>
      <c r="L21" s="1">
        <f t="shared" si="1"/>
        <v>2597.4025974025972</v>
      </c>
      <c r="M21" s="1">
        <f t="shared" si="1"/>
        <v>2857.1428571428569</v>
      </c>
      <c r="N21" s="1">
        <f t="shared" si="1"/>
        <v>3174.603174603174</v>
      </c>
      <c r="O21" s="1">
        <f t="shared" si="1"/>
        <v>3571.4285714285711</v>
      </c>
      <c r="P21" s="1">
        <f t="shared" si="1"/>
        <v>4081.6326530612246</v>
      </c>
      <c r="Q21" s="1">
        <f t="shared" si="1"/>
        <v>4761.9047619047624</v>
      </c>
      <c r="R21" s="1">
        <f t="shared" si="1"/>
        <v>5714.2857142857165</v>
      </c>
      <c r="S21" s="1">
        <f t="shared" si="1"/>
        <v>7142.8571428571477</v>
      </c>
      <c r="T21" s="1">
        <f t="shared" si="2"/>
        <v>9523.8095238095357</v>
      </c>
      <c r="U21" s="1">
        <f t="shared" si="2"/>
        <v>14285.714285714319</v>
      </c>
      <c r="V21" s="1">
        <f t="shared" si="2"/>
        <v>28571.428571428733</v>
      </c>
    </row>
    <row r="22" spans="2:22">
      <c r="B22" s="62">
        <f t="shared" si="3"/>
        <v>0.75000000000000011</v>
      </c>
      <c r="C22" s="1">
        <f t="shared" si="4"/>
        <v>1333.333333333333</v>
      </c>
      <c r="D22" s="1">
        <f t="shared" si="1"/>
        <v>1403.5087719298244</v>
      </c>
      <c r="E22" s="1">
        <f t="shared" si="1"/>
        <v>1481.4814814814811</v>
      </c>
      <c r="F22" s="1">
        <f t="shared" si="1"/>
        <v>1568.627450980392</v>
      </c>
      <c r="G22" s="43">
        <f t="shared" si="1"/>
        <v>1666.6666666666665</v>
      </c>
      <c r="H22" s="1">
        <f t="shared" si="1"/>
        <v>1777.7777777777774</v>
      </c>
      <c r="I22" s="1">
        <f t="shared" si="1"/>
        <v>1904.7619047619046</v>
      </c>
      <c r="J22" s="1">
        <f t="shared" si="1"/>
        <v>2051.2820512820508</v>
      </c>
      <c r="K22" s="1">
        <f t="shared" si="1"/>
        <v>2222.2222222222217</v>
      </c>
      <c r="L22" s="1">
        <f t="shared" si="1"/>
        <v>2424.2424242424236</v>
      </c>
      <c r="M22" s="1">
        <f t="shared" si="1"/>
        <v>2666.6666666666661</v>
      </c>
      <c r="N22" s="1">
        <f t="shared" si="1"/>
        <v>2962.9629629629621</v>
      </c>
      <c r="O22" s="1">
        <f t="shared" si="1"/>
        <v>3333.333333333333</v>
      </c>
      <c r="P22" s="1">
        <f t="shared" si="1"/>
        <v>3809.5238095238092</v>
      </c>
      <c r="Q22" s="1">
        <f t="shared" si="1"/>
        <v>4444.4444444444453</v>
      </c>
      <c r="R22" s="1">
        <f t="shared" si="1"/>
        <v>5333.3333333333348</v>
      </c>
      <c r="S22" s="1">
        <f t="shared" si="1"/>
        <v>6666.6666666666706</v>
      </c>
      <c r="T22" s="1">
        <f t="shared" si="2"/>
        <v>8888.8888888888996</v>
      </c>
      <c r="U22" s="1">
        <f t="shared" si="2"/>
        <v>13333.333333333363</v>
      </c>
      <c r="V22" s="1">
        <f t="shared" si="2"/>
        <v>26666.666666666817</v>
      </c>
    </row>
    <row r="23" spans="2:22">
      <c r="B23" s="62">
        <f t="shared" si="3"/>
        <v>0.80000000000000016</v>
      </c>
      <c r="C23" s="1">
        <f t="shared" si="4"/>
        <v>1249.9999999999998</v>
      </c>
      <c r="D23" s="1">
        <f t="shared" si="1"/>
        <v>1315.7894736842104</v>
      </c>
      <c r="E23" s="1">
        <f t="shared" si="1"/>
        <v>1388.8888888888885</v>
      </c>
      <c r="F23" s="1">
        <f t="shared" si="1"/>
        <v>1470.5882352941173</v>
      </c>
      <c r="G23" s="43">
        <f t="shared" si="1"/>
        <v>1562.4999999999998</v>
      </c>
      <c r="H23" s="1">
        <f t="shared" si="1"/>
        <v>1666.6666666666665</v>
      </c>
      <c r="I23" s="1">
        <f t="shared" si="1"/>
        <v>1785.7142857142856</v>
      </c>
      <c r="J23" s="1">
        <f t="shared" si="1"/>
        <v>1923.0769230769226</v>
      </c>
      <c r="K23" s="1">
        <f t="shared" si="1"/>
        <v>2083.3333333333326</v>
      </c>
      <c r="L23" s="1">
        <f t="shared" si="1"/>
        <v>2272.7272727272721</v>
      </c>
      <c r="M23" s="1">
        <f t="shared" si="1"/>
        <v>2499.9999999999995</v>
      </c>
      <c r="N23" s="1">
        <f t="shared" si="1"/>
        <v>2777.7777777777769</v>
      </c>
      <c r="O23" s="1">
        <f t="shared" si="1"/>
        <v>3124.9999999999995</v>
      </c>
      <c r="P23" s="1">
        <f t="shared" si="1"/>
        <v>3571.4285714285711</v>
      </c>
      <c r="Q23" s="1">
        <f t="shared" si="1"/>
        <v>4166.666666666667</v>
      </c>
      <c r="R23" s="1">
        <f t="shared" si="1"/>
        <v>5000.0000000000009</v>
      </c>
      <c r="S23" s="1">
        <f t="shared" ref="S23:S27" si="5">$B$6/($B23*(1-S$7))</f>
        <v>6250.0000000000027</v>
      </c>
      <c r="T23" s="1">
        <f t="shared" si="2"/>
        <v>8333.333333333343</v>
      </c>
      <c r="U23" s="1">
        <f t="shared" si="2"/>
        <v>12500.000000000027</v>
      </c>
      <c r="V23" s="1">
        <f t="shared" si="2"/>
        <v>25000.000000000138</v>
      </c>
    </row>
    <row r="24" spans="2:22">
      <c r="B24" s="62">
        <f t="shared" si="3"/>
        <v>0.8500000000000002</v>
      </c>
      <c r="C24" s="1">
        <f t="shared" si="4"/>
        <v>1176.4705882352939</v>
      </c>
      <c r="D24" s="1">
        <f t="shared" si="4"/>
        <v>1238.3900928792568</v>
      </c>
      <c r="E24" s="1">
        <f t="shared" si="4"/>
        <v>1307.1895424836598</v>
      </c>
      <c r="F24" s="1">
        <f t="shared" si="4"/>
        <v>1384.0830449826988</v>
      </c>
      <c r="G24" s="43">
        <f t="shared" si="4"/>
        <v>1470.5882352941173</v>
      </c>
      <c r="H24" s="1">
        <f t="shared" si="4"/>
        <v>1568.6274509803918</v>
      </c>
      <c r="I24" s="1">
        <f t="shared" si="4"/>
        <v>1680.6722689075627</v>
      </c>
      <c r="J24" s="1">
        <f t="shared" si="4"/>
        <v>1809.9547511312214</v>
      </c>
      <c r="K24" s="1">
        <f t="shared" si="4"/>
        <v>1960.7843137254893</v>
      </c>
      <c r="L24" s="1">
        <f t="shared" si="4"/>
        <v>2139.0374331550797</v>
      </c>
      <c r="M24" s="1">
        <f t="shared" si="4"/>
        <v>2352.9411764705878</v>
      </c>
      <c r="N24" s="1">
        <f t="shared" si="4"/>
        <v>2614.3790849673192</v>
      </c>
      <c r="O24" s="1">
        <f t="shared" si="4"/>
        <v>2941.1764705882347</v>
      </c>
      <c r="P24" s="1">
        <f t="shared" si="4"/>
        <v>3361.3445378151255</v>
      </c>
      <c r="Q24" s="1">
        <f t="shared" si="4"/>
        <v>3921.5686274509803</v>
      </c>
      <c r="R24" s="1">
        <f t="shared" si="4"/>
        <v>4705.8823529411775</v>
      </c>
      <c r="S24" s="1">
        <f t="shared" si="5"/>
        <v>5882.3529411764739</v>
      </c>
      <c r="T24" s="1">
        <f t="shared" si="2"/>
        <v>7843.1372549019688</v>
      </c>
      <c r="U24" s="1">
        <f t="shared" si="2"/>
        <v>11764.705882352968</v>
      </c>
      <c r="V24" s="1">
        <f t="shared" si="2"/>
        <v>23529.411764706012</v>
      </c>
    </row>
    <row r="25" spans="2:22">
      <c r="B25" s="62">
        <f t="shared" si="3"/>
        <v>0.90000000000000024</v>
      </c>
      <c r="C25" s="1">
        <f t="shared" ref="C25:R27" si="6">$B$6/($B25*(1-C$7))</f>
        <v>1111.1111111111109</v>
      </c>
      <c r="D25" s="1">
        <f t="shared" si="6"/>
        <v>1169.5906432748536</v>
      </c>
      <c r="E25" s="1">
        <f t="shared" si="6"/>
        <v>1234.5679012345674</v>
      </c>
      <c r="F25" s="1">
        <f t="shared" si="6"/>
        <v>1307.1895424836598</v>
      </c>
      <c r="G25" s="43">
        <f t="shared" si="6"/>
        <v>1388.8888888888885</v>
      </c>
      <c r="H25" s="1">
        <f t="shared" si="6"/>
        <v>1481.4814814814811</v>
      </c>
      <c r="I25" s="1">
        <f t="shared" si="6"/>
        <v>1587.301587301587</v>
      </c>
      <c r="J25" s="1">
        <f t="shared" si="6"/>
        <v>1709.4017094017088</v>
      </c>
      <c r="K25" s="1">
        <f t="shared" si="6"/>
        <v>1851.8518518518511</v>
      </c>
      <c r="L25" s="1">
        <f t="shared" si="6"/>
        <v>2020.2020202020196</v>
      </c>
      <c r="M25" s="1">
        <f t="shared" si="6"/>
        <v>2222.2222222222217</v>
      </c>
      <c r="N25" s="1">
        <f t="shared" si="6"/>
        <v>2469.1358024691344</v>
      </c>
      <c r="O25" s="1">
        <f t="shared" si="6"/>
        <v>2777.7777777777769</v>
      </c>
      <c r="P25" s="1">
        <f t="shared" si="6"/>
        <v>3174.603174603174</v>
      </c>
      <c r="Q25" s="1">
        <f t="shared" si="6"/>
        <v>3703.7037037037035</v>
      </c>
      <c r="R25" s="1">
        <f t="shared" si="6"/>
        <v>4444.4444444444453</v>
      </c>
      <c r="S25" s="1">
        <f t="shared" si="5"/>
        <v>5555.5555555555584</v>
      </c>
      <c r="T25" s="1">
        <f t="shared" si="2"/>
        <v>7407.4074074074142</v>
      </c>
      <c r="U25" s="1">
        <f t="shared" si="2"/>
        <v>11111.111111111135</v>
      </c>
      <c r="V25" s="1">
        <f t="shared" si="2"/>
        <v>22222.222222222343</v>
      </c>
    </row>
    <row r="26" spans="2:22">
      <c r="B26" s="62">
        <f t="shared" si="3"/>
        <v>0.95000000000000029</v>
      </c>
      <c r="C26" s="1">
        <f t="shared" si="6"/>
        <v>1052.6315789473681</v>
      </c>
      <c r="D26" s="1">
        <f t="shared" si="6"/>
        <v>1108.0332409972298</v>
      </c>
      <c r="E26" s="1">
        <f t="shared" si="6"/>
        <v>1169.5906432748534</v>
      </c>
      <c r="F26" s="1">
        <f t="shared" si="6"/>
        <v>1238.3900928792566</v>
      </c>
      <c r="G26" s="43">
        <f t="shared" si="6"/>
        <v>1315.7894736842102</v>
      </c>
      <c r="H26" s="1">
        <f t="shared" si="6"/>
        <v>1403.508771929824</v>
      </c>
      <c r="I26" s="1">
        <f t="shared" si="6"/>
        <v>1503.7593984962402</v>
      </c>
      <c r="J26" s="1">
        <f t="shared" si="6"/>
        <v>1619.4331983805664</v>
      </c>
      <c r="K26" s="1">
        <f t="shared" si="6"/>
        <v>1754.3859649122799</v>
      </c>
      <c r="L26" s="1">
        <f t="shared" si="6"/>
        <v>1913.8755980861238</v>
      </c>
      <c r="M26" s="1">
        <f t="shared" si="6"/>
        <v>2105.2631578947362</v>
      </c>
      <c r="N26" s="1">
        <f t="shared" si="6"/>
        <v>2339.1812865497063</v>
      </c>
      <c r="O26" s="1">
        <f t="shared" si="6"/>
        <v>2631.5789473684204</v>
      </c>
      <c r="P26" s="1">
        <f t="shared" si="6"/>
        <v>3007.5187969924805</v>
      </c>
      <c r="Q26" s="1">
        <f t="shared" si="6"/>
        <v>3508.7719298245611</v>
      </c>
      <c r="R26" s="1">
        <f t="shared" si="6"/>
        <v>4210.5263157894742</v>
      </c>
      <c r="S26" s="1">
        <f t="shared" si="5"/>
        <v>5263.1578947368444</v>
      </c>
      <c r="T26" s="1">
        <f t="shared" si="2"/>
        <v>7017.5438596491304</v>
      </c>
      <c r="U26" s="1">
        <f t="shared" si="2"/>
        <v>10526.315789473707</v>
      </c>
      <c r="V26" s="1">
        <f t="shared" si="2"/>
        <v>21052.631578947487</v>
      </c>
    </row>
    <row r="27" spans="2:22">
      <c r="B27" s="62">
        <f t="shared" si="3"/>
        <v>1.0000000000000002</v>
      </c>
      <c r="C27" s="1">
        <f t="shared" si="6"/>
        <v>999.99999999999977</v>
      </c>
      <c r="D27" s="1">
        <f t="shared" si="6"/>
        <v>1052.6315789473683</v>
      </c>
      <c r="E27" s="1">
        <f t="shared" si="6"/>
        <v>1111.1111111111109</v>
      </c>
      <c r="F27" s="1">
        <f t="shared" si="6"/>
        <v>1176.4705882352939</v>
      </c>
      <c r="G27" s="43">
        <f t="shared" si="6"/>
        <v>1249.9999999999995</v>
      </c>
      <c r="H27" s="1">
        <f t="shared" si="6"/>
        <v>1333.333333333333</v>
      </c>
      <c r="I27" s="1">
        <f t="shared" si="6"/>
        <v>1428.5714285714284</v>
      </c>
      <c r="J27" s="1">
        <f t="shared" si="6"/>
        <v>1538.4615384615381</v>
      </c>
      <c r="K27" s="1">
        <f t="shared" si="6"/>
        <v>1666.6666666666661</v>
      </c>
      <c r="L27" s="1">
        <f t="shared" si="6"/>
        <v>1818.1818181818176</v>
      </c>
      <c r="M27" s="1">
        <f t="shared" si="6"/>
        <v>1999.9999999999995</v>
      </c>
      <c r="N27" s="1">
        <f t="shared" si="6"/>
        <v>2222.2222222222213</v>
      </c>
      <c r="O27" s="1">
        <f t="shared" si="6"/>
        <v>2499.9999999999991</v>
      </c>
      <c r="P27" s="1">
        <f t="shared" si="6"/>
        <v>2857.1428571428569</v>
      </c>
      <c r="Q27" s="1">
        <f t="shared" si="6"/>
        <v>3333.3333333333335</v>
      </c>
      <c r="R27" s="1">
        <f t="shared" si="6"/>
        <v>4000.0000000000009</v>
      </c>
      <c r="S27" s="1">
        <f t="shared" si="5"/>
        <v>5000.0000000000027</v>
      </c>
      <c r="T27" s="1">
        <f t="shared" si="2"/>
        <v>6666.6666666666742</v>
      </c>
      <c r="U27" s="1">
        <f t="shared" si="2"/>
        <v>10000.000000000022</v>
      </c>
      <c r="V27" s="1">
        <f t="shared" si="2"/>
        <v>20000.000000000109</v>
      </c>
    </row>
    <row r="28" spans="2:22">
      <c r="B28" s="6" t="s">
        <v>273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19"/>
  <sheetViews>
    <sheetView workbookViewId="0"/>
  </sheetViews>
  <sheetFormatPr defaultRowHeight="13.5"/>
  <cols>
    <col min="3" max="3" width="9.25" bestFit="1" customWidth="1"/>
    <col min="5" max="5" width="9.25" bestFit="1" customWidth="1"/>
  </cols>
  <sheetData>
    <row r="2" spans="1:6">
      <c r="A2" s="6" t="s">
        <v>282</v>
      </c>
      <c r="B2" s="6"/>
      <c r="C2" s="6"/>
      <c r="D2" s="6"/>
      <c r="E2" s="6"/>
      <c r="F2" s="6"/>
    </row>
    <row r="3" spans="1:6">
      <c r="A3" s="6" t="s">
        <v>394</v>
      </c>
      <c r="B3" s="6"/>
      <c r="C3" s="6"/>
      <c r="D3" s="6"/>
      <c r="E3" s="6"/>
      <c r="F3" s="6"/>
    </row>
    <row r="4" spans="1:6">
      <c r="A4" s="6"/>
      <c r="B4" s="6"/>
      <c r="C4" s="6"/>
      <c r="D4" s="6"/>
      <c r="E4" s="6"/>
      <c r="F4" s="6"/>
    </row>
    <row r="5" spans="1:6">
      <c r="A5" t="s">
        <v>277</v>
      </c>
      <c r="B5" s="6"/>
      <c r="C5" s="6"/>
      <c r="D5" s="6"/>
      <c r="E5" s="6"/>
      <c r="F5" s="6"/>
    </row>
    <row r="6" spans="1:6">
      <c r="A6" s="57" t="s">
        <v>79</v>
      </c>
      <c r="B6" s="58" t="s">
        <v>1</v>
      </c>
      <c r="C6" s="58" t="s">
        <v>0</v>
      </c>
      <c r="D6" s="58" t="s">
        <v>76</v>
      </c>
      <c r="E6" s="58" t="s">
        <v>77</v>
      </c>
      <c r="F6" s="58" t="s">
        <v>78</v>
      </c>
    </row>
    <row r="7" spans="1:6">
      <c r="A7" s="45" t="s">
        <v>382</v>
      </c>
      <c r="B7" s="46">
        <v>25</v>
      </c>
      <c r="C7" s="1">
        <f t="shared" ref="C7:C16" si="0">C8-$C$19*(B8-B7)</f>
        <v>183333.33333333407</v>
      </c>
      <c r="D7" s="1">
        <f>E7+F7</f>
        <v>550000</v>
      </c>
      <c r="E7" s="1">
        <v>400000</v>
      </c>
      <c r="F7" s="1">
        <f>6000*B7</f>
        <v>150000</v>
      </c>
    </row>
    <row r="8" spans="1:6">
      <c r="A8" s="45" t="s">
        <v>383</v>
      </c>
      <c r="B8" s="46">
        <f t="shared" ref="B8:B18" si="1">B7+25</f>
        <v>50</v>
      </c>
      <c r="C8" s="1">
        <f t="shared" si="0"/>
        <v>366666.66666666738</v>
      </c>
      <c r="D8" s="1">
        <f>E8+F8</f>
        <v>700000</v>
      </c>
      <c r="E8" s="1">
        <v>400000</v>
      </c>
      <c r="F8" s="1">
        <f>6000*B8</f>
        <v>300000</v>
      </c>
    </row>
    <row r="9" spans="1:6">
      <c r="A9" s="45" t="s">
        <v>384</v>
      </c>
      <c r="B9" s="46">
        <f t="shared" si="1"/>
        <v>75</v>
      </c>
      <c r="C9" s="1">
        <f t="shared" si="0"/>
        <v>550000.0000000007</v>
      </c>
      <c r="D9" s="1">
        <f>E9+F9</f>
        <v>850000</v>
      </c>
      <c r="E9" s="1">
        <v>400000</v>
      </c>
      <c r="F9" s="1">
        <f t="shared" ref="F9:F18" si="2">6000*B9</f>
        <v>450000</v>
      </c>
    </row>
    <row r="10" spans="1:6">
      <c r="A10" s="45" t="s">
        <v>385</v>
      </c>
      <c r="B10" s="46">
        <f t="shared" si="1"/>
        <v>100</v>
      </c>
      <c r="C10" s="1">
        <f t="shared" si="0"/>
        <v>733333.33333333395</v>
      </c>
      <c r="D10" s="1">
        <f t="shared" ref="D10:D18" si="3">E10+F10</f>
        <v>1000000</v>
      </c>
      <c r="E10" s="1">
        <v>400000</v>
      </c>
      <c r="F10" s="1">
        <f t="shared" si="2"/>
        <v>600000</v>
      </c>
    </row>
    <row r="11" spans="1:6">
      <c r="A11" s="45" t="s">
        <v>386</v>
      </c>
      <c r="B11" s="46">
        <f t="shared" si="1"/>
        <v>125</v>
      </c>
      <c r="C11" s="1">
        <f t="shared" si="0"/>
        <v>916666.66666666721</v>
      </c>
      <c r="D11" s="1">
        <f t="shared" si="3"/>
        <v>1150000</v>
      </c>
      <c r="E11" s="1">
        <v>400000</v>
      </c>
      <c r="F11" s="1">
        <f t="shared" si="2"/>
        <v>750000</v>
      </c>
    </row>
    <row r="12" spans="1:6">
      <c r="A12" s="45" t="s">
        <v>387</v>
      </c>
      <c r="B12" s="46">
        <f t="shared" si="1"/>
        <v>150</v>
      </c>
      <c r="C12" s="1">
        <f t="shared" si="0"/>
        <v>1100000.0000000005</v>
      </c>
      <c r="D12" s="1">
        <f t="shared" si="3"/>
        <v>1300000</v>
      </c>
      <c r="E12" s="1">
        <v>400000</v>
      </c>
      <c r="F12" s="1">
        <f t="shared" si="2"/>
        <v>900000</v>
      </c>
    </row>
    <row r="13" spans="1:6">
      <c r="A13" s="45" t="s">
        <v>388</v>
      </c>
      <c r="B13" s="46">
        <f t="shared" si="1"/>
        <v>175</v>
      </c>
      <c r="C13" s="1">
        <f t="shared" si="0"/>
        <v>1283333.3333333337</v>
      </c>
      <c r="D13" s="1">
        <f t="shared" si="3"/>
        <v>1450000</v>
      </c>
      <c r="E13" s="1">
        <v>400000</v>
      </c>
      <c r="F13" s="1">
        <f t="shared" si="2"/>
        <v>1050000</v>
      </c>
    </row>
    <row r="14" spans="1:6">
      <c r="A14" s="45" t="s">
        <v>389</v>
      </c>
      <c r="B14" s="46">
        <f t="shared" si="1"/>
        <v>200</v>
      </c>
      <c r="C14" s="1">
        <f t="shared" si="0"/>
        <v>1466666.666666667</v>
      </c>
      <c r="D14" s="1">
        <f t="shared" si="3"/>
        <v>1600000</v>
      </c>
      <c r="E14" s="1">
        <v>400000</v>
      </c>
      <c r="F14" s="1">
        <f t="shared" si="2"/>
        <v>1200000</v>
      </c>
    </row>
    <row r="15" spans="1:6">
      <c r="A15" s="45" t="s">
        <v>390</v>
      </c>
      <c r="B15" s="46">
        <f t="shared" si="1"/>
        <v>225</v>
      </c>
      <c r="C15" s="1">
        <f t="shared" si="0"/>
        <v>1650000.0000000002</v>
      </c>
      <c r="D15" s="1">
        <f t="shared" si="3"/>
        <v>1750000</v>
      </c>
      <c r="E15" s="1">
        <v>400000</v>
      </c>
      <c r="F15" s="1">
        <f t="shared" si="2"/>
        <v>1350000</v>
      </c>
    </row>
    <row r="16" spans="1:6">
      <c r="A16" s="45" t="s">
        <v>391</v>
      </c>
      <c r="B16" s="46">
        <f t="shared" si="1"/>
        <v>250</v>
      </c>
      <c r="C16" s="1">
        <f t="shared" si="0"/>
        <v>1833333.3333333335</v>
      </c>
      <c r="D16" s="1">
        <f t="shared" si="3"/>
        <v>1900000</v>
      </c>
      <c r="E16" s="1">
        <v>400000</v>
      </c>
      <c r="F16" s="1">
        <f t="shared" si="2"/>
        <v>1500000</v>
      </c>
    </row>
    <row r="17" spans="1:6">
      <c r="A17" s="45" t="s">
        <v>392</v>
      </c>
      <c r="B17" s="46">
        <f t="shared" si="1"/>
        <v>275</v>
      </c>
      <c r="C17" s="1">
        <f>C18-$C$19*(B18-B17)</f>
        <v>2016666.6666666667</v>
      </c>
      <c r="D17" s="1">
        <f t="shared" si="3"/>
        <v>2050000</v>
      </c>
      <c r="E17" s="1">
        <v>400000</v>
      </c>
      <c r="F17" s="1">
        <f t="shared" si="2"/>
        <v>1650000</v>
      </c>
    </row>
    <row r="18" spans="1:6">
      <c r="A18" s="45" t="s">
        <v>393</v>
      </c>
      <c r="B18" s="46">
        <f t="shared" si="1"/>
        <v>300</v>
      </c>
      <c r="C18" s="44">
        <f>D18</f>
        <v>2200000</v>
      </c>
      <c r="D18" s="1">
        <f t="shared" si="3"/>
        <v>2200000</v>
      </c>
      <c r="E18" s="1">
        <v>400000</v>
      </c>
      <c r="F18" s="1">
        <f t="shared" si="2"/>
        <v>1800000</v>
      </c>
    </row>
    <row r="19" spans="1:6">
      <c r="A19" s="6"/>
      <c r="B19" s="31" t="s">
        <v>276</v>
      </c>
      <c r="C19" s="36">
        <f>C18/B18</f>
        <v>7333.333333333333</v>
      </c>
      <c r="D19" s="6"/>
      <c r="E19" s="6"/>
      <c r="F19" s="6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K41"/>
  <sheetViews>
    <sheetView workbookViewId="0"/>
  </sheetViews>
  <sheetFormatPr defaultRowHeight="13.5"/>
  <cols>
    <col min="2" max="2" width="12.75" bestFit="1" customWidth="1"/>
  </cols>
  <sheetData>
    <row r="1" spans="1:37">
      <c r="A1" s="6"/>
      <c r="B1" s="6"/>
      <c r="C1" s="6"/>
      <c r="D1" s="6"/>
    </row>
    <row r="2" spans="1:37">
      <c r="A2" s="6" t="s">
        <v>286</v>
      </c>
      <c r="B2" s="6"/>
      <c r="C2" s="6"/>
      <c r="D2" s="6"/>
      <c r="AE2" t="s">
        <v>288</v>
      </c>
    </row>
    <row r="3" spans="1:37">
      <c r="A3" s="6" t="s">
        <v>279</v>
      </c>
      <c r="B3" s="6"/>
      <c r="C3" s="6"/>
      <c r="D3" s="6"/>
    </row>
    <row r="4" spans="1:37">
      <c r="A4" s="6"/>
      <c r="B4" s="6"/>
      <c r="C4" s="6"/>
      <c r="D4" s="6"/>
    </row>
    <row r="5" spans="1:37">
      <c r="A5" s="16" t="s">
        <v>14</v>
      </c>
      <c r="B5" s="24">
        <f>SLOPE(D16:D37,A16:A37)</f>
        <v>4.8714847006153659E-6</v>
      </c>
      <c r="C5" s="6" t="s">
        <v>299</v>
      </c>
      <c r="D5" s="6"/>
    </row>
    <row r="6" spans="1:37">
      <c r="A6" s="16" t="s">
        <v>15</v>
      </c>
      <c r="B6" s="17">
        <f>INTERCEPT(D16:D37,A16:A37)</f>
        <v>1.6043987254089571E-2</v>
      </c>
      <c r="C6" s="6" t="s">
        <v>287</v>
      </c>
      <c r="D6" s="6"/>
    </row>
    <row r="7" spans="1:37">
      <c r="A7" s="16" t="s">
        <v>16</v>
      </c>
      <c r="B7" s="17">
        <f>CORREL(D15:D35,A15:A35)</f>
        <v>0.96623801023401079</v>
      </c>
      <c r="C7" s="37" t="s">
        <v>297</v>
      </c>
      <c r="D7" s="6"/>
    </row>
    <row r="8" spans="1:37">
      <c r="A8" s="16" t="s">
        <v>296</v>
      </c>
      <c r="B8" s="17">
        <v>-5</v>
      </c>
      <c r="C8" s="15" t="s">
        <v>300</v>
      </c>
      <c r="D8" s="6"/>
      <c r="J8" t="s">
        <v>292</v>
      </c>
      <c r="Q8" t="s">
        <v>289</v>
      </c>
      <c r="X8" t="s">
        <v>294</v>
      </c>
      <c r="AK8" t="s">
        <v>290</v>
      </c>
    </row>
    <row r="9" spans="1:37">
      <c r="A9" s="6"/>
      <c r="B9" s="6"/>
      <c r="C9" s="6"/>
      <c r="D9" s="6"/>
      <c r="J9" t="s">
        <v>293</v>
      </c>
      <c r="AH9" s="16" t="s">
        <v>377</v>
      </c>
    </row>
    <row r="10" spans="1:37">
      <c r="A10" t="s">
        <v>278</v>
      </c>
      <c r="B10" s="6"/>
      <c r="C10" s="6"/>
      <c r="D10" s="6"/>
      <c r="H10" s="38" t="s">
        <v>298</v>
      </c>
      <c r="AH10" s="17">
        <f>MAX(AH12:AH1048576)</f>
        <v>105390.57941097279</v>
      </c>
      <c r="AI10" t="s">
        <v>378</v>
      </c>
    </row>
    <row r="11" spans="1:37">
      <c r="A11" s="29" t="s">
        <v>276</v>
      </c>
      <c r="B11" s="29" t="s">
        <v>1</v>
      </c>
      <c r="C11" s="29" t="s">
        <v>0</v>
      </c>
      <c r="D11" s="31" t="s">
        <v>283</v>
      </c>
      <c r="E11" s="31" t="s">
        <v>280</v>
      </c>
      <c r="F11" s="31" t="s">
        <v>260</v>
      </c>
      <c r="G11" s="31" t="s">
        <v>285</v>
      </c>
      <c r="H11" s="31" t="s">
        <v>8</v>
      </c>
      <c r="AE11" s="31" t="s">
        <v>276</v>
      </c>
      <c r="AF11" s="31" t="s">
        <v>284</v>
      </c>
      <c r="AG11" s="31" t="s">
        <v>260</v>
      </c>
      <c r="AH11" s="31" t="s">
        <v>285</v>
      </c>
      <c r="AI11" s="31" t="s">
        <v>342</v>
      </c>
    </row>
    <row r="12" spans="1:37">
      <c r="A12" s="14">
        <v>1150</v>
      </c>
      <c r="B12" s="15">
        <v>11</v>
      </c>
      <c r="C12" s="15">
        <f>A12*B12</f>
        <v>12650</v>
      </c>
      <c r="D12">
        <f t="shared" ref="D12:D41" si="0">1/B12</f>
        <v>9.0909090909090912E-2</v>
      </c>
      <c r="E12">
        <f t="shared" ref="E12:E41" si="1">A12*$B$5+$B$6</f>
        <v>2.1646194659797242E-2</v>
      </c>
      <c r="F12">
        <f>(1/E12)+$B$8</f>
        <v>41.197496406020349</v>
      </c>
      <c r="G12">
        <f>F12*A12</f>
        <v>47377.120866923404</v>
      </c>
      <c r="H12">
        <f t="shared" ref="H12:H41" si="2">B12-F12</f>
        <v>-30.197496406020349</v>
      </c>
      <c r="AE12">
        <v>0</v>
      </c>
      <c r="AF12">
        <f>AE12*$B$5+$B$6</f>
        <v>1.6043987254089571E-2</v>
      </c>
      <c r="AG12">
        <f>(1/AF12)+$B$8</f>
        <v>57.328645876049457</v>
      </c>
      <c r="AH12">
        <f>AG12*AE12</f>
        <v>0</v>
      </c>
      <c r="AI12">
        <f>AH12-$AH$10</f>
        <v>-105390.57941097279</v>
      </c>
    </row>
    <row r="13" spans="1:37">
      <c r="A13" s="14">
        <v>1730</v>
      </c>
      <c r="B13" s="15">
        <v>18</v>
      </c>
      <c r="C13" s="15">
        <f t="shared" ref="C13:C41" si="3">A13*B13</f>
        <v>31140</v>
      </c>
      <c r="D13">
        <f t="shared" si="0"/>
        <v>5.5555555555555552E-2</v>
      </c>
      <c r="E13">
        <f t="shared" si="1"/>
        <v>2.4471655786154154E-2</v>
      </c>
      <c r="F13">
        <f t="shared" ref="F13:F41" si="4">(1/E13)+$B$8</f>
        <v>35.863601904934896</v>
      </c>
      <c r="G13">
        <f t="shared" ref="G13:G41" si="5">F13*A13</f>
        <v>62044.031295537367</v>
      </c>
      <c r="H13">
        <f t="shared" si="2"/>
        <v>-17.863601904934896</v>
      </c>
      <c r="AE13">
        <f>AE12+1250</f>
        <v>1250</v>
      </c>
      <c r="AF13">
        <f>AE13*$B$5+$B$6</f>
        <v>2.213334312985878E-2</v>
      </c>
      <c r="AG13">
        <f t="shared" ref="AG13:AG41" si="6">(1/AF13)+$B$8</f>
        <v>40.180702893950048</v>
      </c>
      <c r="AH13">
        <f>AG13*AE13</f>
        <v>50225.878617437564</v>
      </c>
      <c r="AI13">
        <f>AH13-$AH$10</f>
        <v>-55164.700793535223</v>
      </c>
    </row>
    <row r="14" spans="1:37">
      <c r="A14" s="14">
        <v>1950</v>
      </c>
      <c r="B14" s="15">
        <v>25</v>
      </c>
      <c r="C14" s="15">
        <f t="shared" si="3"/>
        <v>48750</v>
      </c>
      <c r="D14">
        <f t="shared" si="0"/>
        <v>0.04</v>
      </c>
      <c r="E14">
        <f t="shared" si="1"/>
        <v>2.5543382420289536E-2</v>
      </c>
      <c r="F14">
        <f t="shared" si="4"/>
        <v>34.149083059794123</v>
      </c>
      <c r="G14">
        <f t="shared" si="5"/>
        <v>66590.711966598537</v>
      </c>
      <c r="H14">
        <f t="shared" si="2"/>
        <v>-9.1490830597941226</v>
      </c>
      <c r="AE14">
        <f t="shared" ref="AE14:AE41" si="7">AE13+1250</f>
        <v>2500</v>
      </c>
      <c r="AF14">
        <f t="shared" ref="AF14:AF41" si="8">AE14*$B$5+$B$6</f>
        <v>2.8222699005627988E-2</v>
      </c>
      <c r="AG14">
        <f t="shared" si="6"/>
        <v>30.43247227349115</v>
      </c>
      <c r="AH14">
        <f>AG14*AE14</f>
        <v>76081.180683727871</v>
      </c>
      <c r="AI14">
        <f>AH14-$AH$10</f>
        <v>-29309.398727244916</v>
      </c>
    </row>
    <row r="15" spans="1:37">
      <c r="A15" s="14">
        <v>2010</v>
      </c>
      <c r="B15" s="15">
        <v>36</v>
      </c>
      <c r="C15" s="15">
        <f t="shared" si="3"/>
        <v>72360</v>
      </c>
      <c r="D15">
        <f t="shared" si="0"/>
        <v>2.7777777777777776E-2</v>
      </c>
      <c r="E15">
        <f t="shared" si="1"/>
        <v>2.5835671502326456E-2</v>
      </c>
      <c r="F15">
        <f t="shared" si="4"/>
        <v>33.70617413253423</v>
      </c>
      <c r="G15">
        <f t="shared" si="5"/>
        <v>67749.410006393795</v>
      </c>
      <c r="H15">
        <f t="shared" si="2"/>
        <v>2.2938258674657703</v>
      </c>
      <c r="AE15">
        <f t="shared" si="7"/>
        <v>3750</v>
      </c>
      <c r="AF15">
        <f t="shared" si="8"/>
        <v>3.4312054881397193E-2</v>
      </c>
      <c r="AG15">
        <f t="shared" si="6"/>
        <v>24.144276070220595</v>
      </c>
      <c r="AH15">
        <f t="shared" ref="AH15:AH40" si="9">AG15*AE15</f>
        <v>90541.035263327227</v>
      </c>
      <c r="AI15">
        <f t="shared" ref="AI15:AI41" si="10">AH15-$AH$10</f>
        <v>-14849.54414764556</v>
      </c>
    </row>
    <row r="16" spans="1:37">
      <c r="A16" s="14">
        <v>2140</v>
      </c>
      <c r="B16" s="15">
        <v>34</v>
      </c>
      <c r="C16" s="15">
        <f t="shared" si="3"/>
        <v>72760</v>
      </c>
      <c r="D16">
        <f t="shared" si="0"/>
        <v>2.9411764705882353E-2</v>
      </c>
      <c r="E16">
        <f t="shared" si="1"/>
        <v>2.6468964513406454E-2</v>
      </c>
      <c r="F16">
        <f t="shared" si="4"/>
        <v>32.780095231662834</v>
      </c>
      <c r="G16">
        <f t="shared" si="5"/>
        <v>70149.403795758466</v>
      </c>
      <c r="H16">
        <f t="shared" si="2"/>
        <v>1.219904768337166</v>
      </c>
      <c r="AE16">
        <f t="shared" si="7"/>
        <v>5000</v>
      </c>
      <c r="AF16">
        <f t="shared" si="8"/>
        <v>4.0401410757166398E-2</v>
      </c>
      <c r="AG16">
        <f t="shared" si="6"/>
        <v>19.751610927908505</v>
      </c>
      <c r="AH16">
        <f t="shared" si="9"/>
        <v>98758.054639542519</v>
      </c>
      <c r="AI16">
        <f t="shared" si="10"/>
        <v>-6632.5247714302677</v>
      </c>
    </row>
    <row r="17" spans="1:37">
      <c r="A17" s="14">
        <v>2680</v>
      </c>
      <c r="B17" s="15">
        <v>33</v>
      </c>
      <c r="C17" s="15">
        <f t="shared" si="3"/>
        <v>88440</v>
      </c>
      <c r="D17">
        <f t="shared" si="0"/>
        <v>3.0303030303030304E-2</v>
      </c>
      <c r="E17">
        <f t="shared" si="1"/>
        <v>2.9099566251738752E-2</v>
      </c>
      <c r="F17">
        <f t="shared" si="4"/>
        <v>29.364773390402277</v>
      </c>
      <c r="G17">
        <f t="shared" si="5"/>
        <v>78697.592686278105</v>
      </c>
      <c r="H17">
        <f t="shared" si="2"/>
        <v>3.6352266095977228</v>
      </c>
      <c r="AE17">
        <f t="shared" si="7"/>
        <v>6250</v>
      </c>
      <c r="AF17">
        <f>AE17*$B$5+$B$6</f>
        <v>4.649076663293561E-2</v>
      </c>
      <c r="AG17">
        <f>(1/AF17)+$B$8</f>
        <v>16.509647450975063</v>
      </c>
      <c r="AH17">
        <f t="shared" si="9"/>
        <v>103185.29656859415</v>
      </c>
      <c r="AI17">
        <f t="shared" si="10"/>
        <v>-2205.2828423786414</v>
      </c>
    </row>
    <row r="18" spans="1:37">
      <c r="A18" s="14">
        <v>2540</v>
      </c>
      <c r="B18" s="15">
        <v>33</v>
      </c>
      <c r="C18" s="15">
        <f t="shared" si="3"/>
        <v>83820</v>
      </c>
      <c r="D18">
        <f t="shared" si="0"/>
        <v>3.0303030303030304E-2</v>
      </c>
      <c r="E18">
        <f t="shared" si="1"/>
        <v>2.8417558393652599E-2</v>
      </c>
      <c r="F18">
        <f t="shared" si="4"/>
        <v>30.189511574061264</v>
      </c>
      <c r="G18">
        <f t="shared" si="5"/>
        <v>76681.359398115615</v>
      </c>
      <c r="H18">
        <f t="shared" si="2"/>
        <v>2.8104884259387362</v>
      </c>
      <c r="AE18">
        <f t="shared" si="7"/>
        <v>7500</v>
      </c>
      <c r="AF18">
        <f t="shared" si="8"/>
        <v>5.2580122508704814E-2</v>
      </c>
      <c r="AG18">
        <f t="shared" si="6"/>
        <v>14.01859395315115</v>
      </c>
      <c r="AH18">
        <f t="shared" si="9"/>
        <v>105139.45464863362</v>
      </c>
      <c r="AI18">
        <f t="shared" si="10"/>
        <v>-251.12476233916823</v>
      </c>
    </row>
    <row r="19" spans="1:37">
      <c r="A19" s="14">
        <v>2260</v>
      </c>
      <c r="B19" s="15">
        <v>33</v>
      </c>
      <c r="C19" s="15">
        <f t="shared" si="3"/>
        <v>74580</v>
      </c>
      <c r="D19">
        <f t="shared" si="0"/>
        <v>3.0303030303030304E-2</v>
      </c>
      <c r="E19">
        <f t="shared" si="1"/>
        <v>2.7053542677480301E-2</v>
      </c>
      <c r="F19">
        <f t="shared" si="4"/>
        <v>31.963735652721454</v>
      </c>
      <c r="G19">
        <f t="shared" si="5"/>
        <v>72238.042575150481</v>
      </c>
      <c r="H19">
        <f t="shared" si="2"/>
        <v>1.0362643472785464</v>
      </c>
      <c r="AE19">
        <f t="shared" si="7"/>
        <v>8750</v>
      </c>
      <c r="AF19">
        <f t="shared" si="8"/>
        <v>5.8669478384474026E-2</v>
      </c>
      <c r="AG19">
        <f t="shared" si="6"/>
        <v>12.044637646968319</v>
      </c>
      <c r="AH19">
        <f t="shared" si="9"/>
        <v>105390.57941097279</v>
      </c>
      <c r="AI19">
        <f t="shared" si="10"/>
        <v>0</v>
      </c>
      <c r="AJ19" t="s">
        <v>381</v>
      </c>
    </row>
    <row r="20" spans="1:37">
      <c r="A20" s="14">
        <v>2700</v>
      </c>
      <c r="B20" s="15">
        <v>32</v>
      </c>
      <c r="C20" s="15">
        <f t="shared" si="3"/>
        <v>86400</v>
      </c>
      <c r="D20">
        <f t="shared" si="0"/>
        <v>3.125E-2</v>
      </c>
      <c r="E20">
        <f t="shared" si="1"/>
        <v>2.9196995945751057E-2</v>
      </c>
      <c r="F20">
        <f t="shared" si="4"/>
        <v>29.250098943673237</v>
      </c>
      <c r="G20">
        <f t="shared" si="5"/>
        <v>78975.267147917737</v>
      </c>
      <c r="H20">
        <f t="shared" si="2"/>
        <v>2.7499010563267632</v>
      </c>
      <c r="AE20">
        <f t="shared" si="7"/>
        <v>10000</v>
      </c>
      <c r="AF20">
        <f t="shared" si="8"/>
        <v>6.4758834260243231E-2</v>
      </c>
      <c r="AG20">
        <f t="shared" si="6"/>
        <v>10.441908604798966</v>
      </c>
      <c r="AH20">
        <f t="shared" si="9"/>
        <v>104419.08604798967</v>
      </c>
      <c r="AI20">
        <f t="shared" si="10"/>
        <v>-971.49336298312119</v>
      </c>
    </row>
    <row r="21" spans="1:37">
      <c r="A21" s="14">
        <v>2900</v>
      </c>
      <c r="B21" s="15">
        <v>31</v>
      </c>
      <c r="C21" s="15">
        <f t="shared" si="3"/>
        <v>89900</v>
      </c>
      <c r="D21">
        <f t="shared" si="0"/>
        <v>3.2258064516129031E-2</v>
      </c>
      <c r="E21">
        <f t="shared" si="1"/>
        <v>3.0171292885874133E-2</v>
      </c>
      <c r="F21">
        <f t="shared" si="4"/>
        <v>28.144088448002471</v>
      </c>
      <c r="G21">
        <f t="shared" si="5"/>
        <v>81617.856499207162</v>
      </c>
      <c r="H21">
        <f t="shared" si="2"/>
        <v>2.8559115519975293</v>
      </c>
      <c r="AE21">
        <f t="shared" si="7"/>
        <v>11250</v>
      </c>
      <c r="AF21">
        <f t="shared" si="8"/>
        <v>7.0848190136012429E-2</v>
      </c>
      <c r="AG21">
        <f t="shared" si="6"/>
        <v>9.1146866007476994</v>
      </c>
      <c r="AH21">
        <f t="shared" si="9"/>
        <v>102540.22425841162</v>
      </c>
      <c r="AI21">
        <f t="shared" si="10"/>
        <v>-2850.3551525611692</v>
      </c>
    </row>
    <row r="22" spans="1:37">
      <c r="A22" s="14">
        <v>3100</v>
      </c>
      <c r="B22" s="15">
        <v>29</v>
      </c>
      <c r="C22" s="15">
        <f t="shared" si="3"/>
        <v>89900</v>
      </c>
      <c r="D22">
        <f t="shared" si="0"/>
        <v>3.4482758620689655E-2</v>
      </c>
      <c r="E22">
        <f t="shared" si="1"/>
        <v>3.1145589825997206E-2</v>
      </c>
      <c r="F22">
        <f t="shared" si="4"/>
        <v>27.107274435538237</v>
      </c>
      <c r="G22">
        <f t="shared" si="5"/>
        <v>84032.550750168535</v>
      </c>
      <c r="H22">
        <f t="shared" si="2"/>
        <v>1.8927255644617631</v>
      </c>
      <c r="AE22">
        <f t="shared" si="7"/>
        <v>12500</v>
      </c>
      <c r="AF22">
        <f t="shared" si="8"/>
        <v>7.6937546011781655E-2</v>
      </c>
      <c r="AG22">
        <f t="shared" si="6"/>
        <v>7.9975551838742991</v>
      </c>
      <c r="AH22">
        <f t="shared" si="9"/>
        <v>99969.439798428735</v>
      </c>
      <c r="AI22">
        <f t="shared" si="10"/>
        <v>-5421.1396125440515</v>
      </c>
    </row>
    <row r="23" spans="1:37">
      <c r="A23" s="14">
        <v>3200</v>
      </c>
      <c r="B23" s="15">
        <v>27</v>
      </c>
      <c r="C23" s="15">
        <f t="shared" si="3"/>
        <v>86400</v>
      </c>
      <c r="D23">
        <f t="shared" si="0"/>
        <v>3.7037037037037035E-2</v>
      </c>
      <c r="E23">
        <f t="shared" si="1"/>
        <v>3.1632738296058741E-2</v>
      </c>
      <c r="F23">
        <f t="shared" si="4"/>
        <v>26.612818044418063</v>
      </c>
      <c r="G23">
        <f t="shared" si="5"/>
        <v>85161.017742137803</v>
      </c>
      <c r="H23">
        <f t="shared" si="2"/>
        <v>0.38718195558193713</v>
      </c>
      <c r="AE23">
        <f t="shared" si="7"/>
        <v>13750</v>
      </c>
      <c r="AF23">
        <f t="shared" si="8"/>
        <v>8.3026901887550852E-2</v>
      </c>
      <c r="AG23">
        <f t="shared" si="6"/>
        <v>7.0442889866512193</v>
      </c>
      <c r="AH23">
        <f>AG23*AE23</f>
        <v>96858.973566454268</v>
      </c>
      <c r="AI23">
        <f t="shared" si="10"/>
        <v>-8531.605844518519</v>
      </c>
    </row>
    <row r="24" spans="1:37">
      <c r="A24" s="14">
        <v>3500</v>
      </c>
      <c r="B24" s="15">
        <v>26</v>
      </c>
      <c r="C24" s="15">
        <f t="shared" si="3"/>
        <v>91000</v>
      </c>
      <c r="D24">
        <f t="shared" si="0"/>
        <v>3.8461538461538464E-2</v>
      </c>
      <c r="E24">
        <f t="shared" si="1"/>
        <v>3.3094183706243355E-2</v>
      </c>
      <c r="F24">
        <f t="shared" si="4"/>
        <v>25.216790021968297</v>
      </c>
      <c r="G24">
        <f t="shared" si="5"/>
        <v>88258.765076889045</v>
      </c>
      <c r="H24">
        <f t="shared" si="2"/>
        <v>0.783209978031703</v>
      </c>
      <c r="AE24">
        <f t="shared" si="7"/>
        <v>15000</v>
      </c>
      <c r="AF24">
        <f t="shared" si="8"/>
        <v>8.911625776332005E-2</v>
      </c>
      <c r="AG24">
        <f t="shared" si="6"/>
        <v>6.221297046110891</v>
      </c>
      <c r="AH24">
        <f t="shared" si="9"/>
        <v>93319.455691663359</v>
      </c>
      <c r="AI24">
        <f t="shared" si="10"/>
        <v>-12071.123719309428</v>
      </c>
    </row>
    <row r="25" spans="1:37">
      <c r="A25" s="14">
        <v>3450</v>
      </c>
      <c r="B25" s="15">
        <v>26</v>
      </c>
      <c r="C25" s="15">
        <f t="shared" si="3"/>
        <v>89700</v>
      </c>
      <c r="D25">
        <f t="shared" si="0"/>
        <v>3.8461538461538464E-2</v>
      </c>
      <c r="E25">
        <f t="shared" si="1"/>
        <v>3.2850609471212586E-2</v>
      </c>
      <c r="F25">
        <f t="shared" si="4"/>
        <v>25.440835530808428</v>
      </c>
      <c r="G25">
        <f t="shared" si="5"/>
        <v>87770.882581289072</v>
      </c>
      <c r="H25">
        <f t="shared" si="2"/>
        <v>0.55916446919157181</v>
      </c>
      <c r="AE25">
        <f t="shared" si="7"/>
        <v>16250</v>
      </c>
      <c r="AF25">
        <f t="shared" si="8"/>
        <v>9.5205613639089276E-2</v>
      </c>
      <c r="AG25">
        <f t="shared" si="6"/>
        <v>5.5035823180643053</v>
      </c>
      <c r="AH25">
        <f t="shared" si="9"/>
        <v>89433.212668544962</v>
      </c>
      <c r="AI25">
        <f t="shared" si="10"/>
        <v>-15957.366742427825</v>
      </c>
    </row>
    <row r="26" spans="1:37">
      <c r="A26" s="14">
        <v>4200</v>
      </c>
      <c r="B26" s="15">
        <v>25</v>
      </c>
      <c r="C26" s="15">
        <f t="shared" si="3"/>
        <v>105000</v>
      </c>
      <c r="D26">
        <f t="shared" si="0"/>
        <v>0.04</v>
      </c>
      <c r="E26">
        <f t="shared" si="1"/>
        <v>3.6504222996674107E-2</v>
      </c>
      <c r="F26">
        <f t="shared" si="4"/>
        <v>22.394090817687307</v>
      </c>
      <c r="G26">
        <f t="shared" si="5"/>
        <v>94055.181434286686</v>
      </c>
      <c r="H26">
        <f t="shared" si="2"/>
        <v>2.6059091823126934</v>
      </c>
      <c r="AE26">
        <f t="shared" si="7"/>
        <v>17500</v>
      </c>
      <c r="AF26">
        <f t="shared" si="8"/>
        <v>0.10129496951485847</v>
      </c>
      <c r="AG26">
        <f t="shared" si="6"/>
        <v>4.8721585562382224</v>
      </c>
      <c r="AH26">
        <f t="shared" si="9"/>
        <v>85262.774734168896</v>
      </c>
      <c r="AI26">
        <f t="shared" si="10"/>
        <v>-20127.804676803891</v>
      </c>
    </row>
    <row r="27" spans="1:37">
      <c r="A27" s="14">
        <v>7700</v>
      </c>
      <c r="B27" s="15">
        <v>23</v>
      </c>
      <c r="C27" s="15">
        <f t="shared" si="3"/>
        <v>177100</v>
      </c>
      <c r="D27">
        <f t="shared" si="0"/>
        <v>4.3478260869565216E-2</v>
      </c>
      <c r="E27">
        <f t="shared" si="1"/>
        <v>5.355441944882789E-2</v>
      </c>
      <c r="F27">
        <f t="shared" si="4"/>
        <v>13.672595283299003</v>
      </c>
      <c r="G27">
        <f t="shared" si="5"/>
        <v>105278.98368140233</v>
      </c>
      <c r="H27">
        <f t="shared" si="2"/>
        <v>9.3274047167009968</v>
      </c>
      <c r="AE27">
        <f t="shared" si="7"/>
        <v>18750</v>
      </c>
      <c r="AF27">
        <f t="shared" si="8"/>
        <v>0.10738432539062767</v>
      </c>
      <c r="AG27">
        <f t="shared" si="6"/>
        <v>4.3123460650550243</v>
      </c>
      <c r="AH27">
        <f t="shared" si="9"/>
        <v>80856.488719781701</v>
      </c>
      <c r="AI27">
        <f t="shared" si="10"/>
        <v>-24534.090691191086</v>
      </c>
    </row>
    <row r="28" spans="1:37">
      <c r="A28" s="14">
        <v>6200</v>
      </c>
      <c r="B28" s="15">
        <v>23</v>
      </c>
      <c r="C28" s="15">
        <f t="shared" si="3"/>
        <v>142600</v>
      </c>
      <c r="D28">
        <f t="shared" si="0"/>
        <v>4.3478260869565216E-2</v>
      </c>
      <c r="E28">
        <f t="shared" si="1"/>
        <v>4.624719239790484E-2</v>
      </c>
      <c r="F28">
        <f t="shared" si="4"/>
        <v>16.622934239902172</v>
      </c>
      <c r="G28">
        <f t="shared" si="5"/>
        <v>103062.19228739347</v>
      </c>
      <c r="H28">
        <f t="shared" si="2"/>
        <v>6.3770657600978282</v>
      </c>
      <c r="J28" t="s">
        <v>291</v>
      </c>
      <c r="Q28" t="s">
        <v>290</v>
      </c>
      <c r="X28" t="s">
        <v>295</v>
      </c>
      <c r="AE28">
        <f t="shared" si="7"/>
        <v>20000</v>
      </c>
      <c r="AF28">
        <f t="shared" si="8"/>
        <v>0.1134736812663969</v>
      </c>
      <c r="AG28">
        <f t="shared" si="6"/>
        <v>3.8126161841206727</v>
      </c>
      <c r="AH28">
        <f>AG28*AE28</f>
        <v>76252.323682413451</v>
      </c>
      <c r="AI28">
        <f t="shared" si="10"/>
        <v>-29138.255728559336</v>
      </c>
      <c r="AK28" t="s">
        <v>295</v>
      </c>
    </row>
    <row r="29" spans="1:37">
      <c r="A29" s="14">
        <v>8000</v>
      </c>
      <c r="B29" s="15">
        <v>22</v>
      </c>
      <c r="C29" s="15">
        <f t="shared" si="3"/>
        <v>176000</v>
      </c>
      <c r="D29">
        <f t="shared" si="0"/>
        <v>4.5454545454545456E-2</v>
      </c>
      <c r="E29">
        <f t="shared" si="1"/>
        <v>5.5015864859012498E-2</v>
      </c>
      <c r="F29">
        <f t="shared" si="4"/>
        <v>13.176575112700124</v>
      </c>
      <c r="G29">
        <f t="shared" si="5"/>
        <v>105412.60090160099</v>
      </c>
      <c r="H29">
        <f t="shared" si="2"/>
        <v>8.8234248872998755</v>
      </c>
      <c r="AE29">
        <f t="shared" si="7"/>
        <v>21250</v>
      </c>
      <c r="AF29">
        <f t="shared" si="8"/>
        <v>0.1195630371421661</v>
      </c>
      <c r="AG29">
        <f t="shared" si="6"/>
        <v>3.3637888757455432</v>
      </c>
      <c r="AH29">
        <f t="shared" si="9"/>
        <v>71480.513609592788</v>
      </c>
      <c r="AI29">
        <f t="shared" si="10"/>
        <v>-33910.065801379998</v>
      </c>
    </row>
    <row r="30" spans="1:37">
      <c r="A30" s="14">
        <v>9500</v>
      </c>
      <c r="B30" s="6">
        <v>21</v>
      </c>
      <c r="C30" s="15">
        <f t="shared" si="3"/>
        <v>199500</v>
      </c>
      <c r="D30">
        <f t="shared" si="0"/>
        <v>4.7619047619047616E-2</v>
      </c>
      <c r="E30">
        <f t="shared" si="1"/>
        <v>6.2323091909935548E-2</v>
      </c>
      <c r="F30">
        <f t="shared" si="4"/>
        <v>11.04541702528369</v>
      </c>
      <c r="G30">
        <f t="shared" si="5"/>
        <v>104931.46174019505</v>
      </c>
      <c r="H30">
        <f t="shared" si="2"/>
        <v>9.9545829747163097</v>
      </c>
      <c r="AE30">
        <f t="shared" si="7"/>
        <v>22500</v>
      </c>
      <c r="AF30">
        <f t="shared" si="8"/>
        <v>0.12565239301793529</v>
      </c>
      <c r="AG30">
        <f t="shared" si="6"/>
        <v>2.9584636311483745</v>
      </c>
      <c r="AH30">
        <f t="shared" si="9"/>
        <v>66565.431700838424</v>
      </c>
      <c r="AI30">
        <f t="shared" si="10"/>
        <v>-38825.147710134363</v>
      </c>
    </row>
    <row r="31" spans="1:37">
      <c r="A31" s="14">
        <v>11500</v>
      </c>
      <c r="B31" s="6">
        <v>15</v>
      </c>
      <c r="C31" s="15">
        <f t="shared" si="3"/>
        <v>172500</v>
      </c>
      <c r="D31">
        <f t="shared" si="0"/>
        <v>6.6666666666666666E-2</v>
      </c>
      <c r="E31">
        <f t="shared" si="1"/>
        <v>7.2066061311166274E-2</v>
      </c>
      <c r="F31">
        <f t="shared" si="4"/>
        <v>8.8761572619073466</v>
      </c>
      <c r="G31">
        <f t="shared" si="5"/>
        <v>102075.80851193449</v>
      </c>
      <c r="H31">
        <f t="shared" si="2"/>
        <v>6.1238427380926534</v>
      </c>
      <c r="AE31">
        <f t="shared" si="7"/>
        <v>23750</v>
      </c>
      <c r="AF31">
        <f t="shared" si="8"/>
        <v>0.13174174889370452</v>
      </c>
      <c r="AG31">
        <f t="shared" si="6"/>
        <v>2.5906082042894951</v>
      </c>
      <c r="AH31">
        <f t="shared" si="9"/>
        <v>61526.944851875509</v>
      </c>
      <c r="AI31">
        <f t="shared" si="10"/>
        <v>-43863.634559097278</v>
      </c>
    </row>
    <row r="32" spans="1:37">
      <c r="A32" s="14">
        <v>10000</v>
      </c>
      <c r="B32" s="6">
        <v>15</v>
      </c>
      <c r="C32" s="15">
        <f t="shared" si="3"/>
        <v>150000</v>
      </c>
      <c r="D32">
        <f t="shared" si="0"/>
        <v>6.6666666666666666E-2</v>
      </c>
      <c r="E32">
        <f t="shared" si="1"/>
        <v>6.4758834260243231E-2</v>
      </c>
      <c r="F32">
        <f t="shared" si="4"/>
        <v>10.441908604798966</v>
      </c>
      <c r="G32">
        <f t="shared" si="5"/>
        <v>104419.08604798967</v>
      </c>
      <c r="H32">
        <f t="shared" si="2"/>
        <v>4.5580913952010338</v>
      </c>
      <c r="AE32">
        <f t="shared" si="7"/>
        <v>25000</v>
      </c>
      <c r="AF32">
        <f t="shared" si="8"/>
        <v>0.13783110476947372</v>
      </c>
      <c r="AG32">
        <f t="shared" si="6"/>
        <v>2.2552563637397185</v>
      </c>
      <c r="AH32">
        <f t="shared" si="9"/>
        <v>56381.409093492963</v>
      </c>
      <c r="AI32">
        <f t="shared" si="10"/>
        <v>-49009.170317479824</v>
      </c>
    </row>
    <row r="33" spans="1:35">
      <c r="A33" s="14">
        <v>15500</v>
      </c>
      <c r="B33" s="6">
        <v>14</v>
      </c>
      <c r="C33" s="15">
        <f t="shared" si="3"/>
        <v>217000</v>
      </c>
      <c r="D33">
        <f t="shared" si="0"/>
        <v>7.1428571428571425E-2</v>
      </c>
      <c r="E33">
        <f t="shared" si="1"/>
        <v>9.1552000113627741E-2</v>
      </c>
      <c r="F33">
        <f t="shared" si="4"/>
        <v>5.9227542681631427</v>
      </c>
      <c r="G33">
        <f t="shared" si="5"/>
        <v>91802.691156528716</v>
      </c>
      <c r="H33">
        <f t="shared" si="2"/>
        <v>8.0772457318368573</v>
      </c>
      <c r="AE33">
        <f t="shared" si="7"/>
        <v>26250</v>
      </c>
      <c r="AF33">
        <f t="shared" si="8"/>
        <v>0.14392046064524291</v>
      </c>
      <c r="AG33">
        <f t="shared" si="6"/>
        <v>1.9482823742827815</v>
      </c>
      <c r="AH33">
        <f t="shared" si="9"/>
        <v>51142.412324923018</v>
      </c>
      <c r="AI33">
        <f t="shared" si="10"/>
        <v>-54248.167086049769</v>
      </c>
    </row>
    <row r="34" spans="1:35">
      <c r="A34" s="14">
        <v>16000</v>
      </c>
      <c r="B34" s="6">
        <v>12</v>
      </c>
      <c r="C34" s="15">
        <f t="shared" si="3"/>
        <v>192000</v>
      </c>
      <c r="D34">
        <f t="shared" si="0"/>
        <v>8.3333333333333329E-2</v>
      </c>
      <c r="E34">
        <f t="shared" si="1"/>
        <v>9.3987742463935431E-2</v>
      </c>
      <c r="F34">
        <f t="shared" si="4"/>
        <v>5.6396852800642137</v>
      </c>
      <c r="G34">
        <f t="shared" si="5"/>
        <v>90234.964481027419</v>
      </c>
      <c r="H34">
        <f t="shared" si="2"/>
        <v>6.3603147199357863</v>
      </c>
      <c r="AE34">
        <f t="shared" si="7"/>
        <v>27500</v>
      </c>
      <c r="AF34">
        <f t="shared" si="8"/>
        <v>0.15000981652101211</v>
      </c>
      <c r="AG34">
        <f t="shared" si="6"/>
        <v>1.6662304053943595</v>
      </c>
      <c r="AH34">
        <f t="shared" si="9"/>
        <v>45821.33614834489</v>
      </c>
      <c r="AI34">
        <f t="shared" si="10"/>
        <v>-59569.243262627897</v>
      </c>
    </row>
    <row r="35" spans="1:35">
      <c r="A35" s="14">
        <v>17500</v>
      </c>
      <c r="B35" s="6">
        <v>10</v>
      </c>
      <c r="C35" s="15">
        <f t="shared" si="3"/>
        <v>175000</v>
      </c>
      <c r="D35">
        <f t="shared" si="0"/>
        <v>0.1</v>
      </c>
      <c r="E35">
        <f t="shared" si="1"/>
        <v>0.10129496951485847</v>
      </c>
      <c r="F35">
        <f t="shared" si="4"/>
        <v>4.8721585562382224</v>
      </c>
      <c r="G35">
        <f t="shared" si="5"/>
        <v>85262.774734168896</v>
      </c>
      <c r="H35">
        <f t="shared" si="2"/>
        <v>5.1278414437617776</v>
      </c>
      <c r="AE35">
        <f t="shared" si="7"/>
        <v>28750</v>
      </c>
      <c r="AF35">
        <f t="shared" si="8"/>
        <v>0.15609917239678134</v>
      </c>
      <c r="AG35">
        <f t="shared" si="6"/>
        <v>1.4061838678948648</v>
      </c>
      <c r="AH35">
        <f t="shared" si="9"/>
        <v>40427.78620197736</v>
      </c>
      <c r="AI35">
        <f t="shared" si="10"/>
        <v>-64962.793208995427</v>
      </c>
    </row>
    <row r="36" spans="1:35">
      <c r="A36" s="14">
        <v>20000</v>
      </c>
      <c r="B36" s="6">
        <v>8</v>
      </c>
      <c r="C36" s="15">
        <f t="shared" si="3"/>
        <v>160000</v>
      </c>
      <c r="D36">
        <f t="shared" si="0"/>
        <v>0.125</v>
      </c>
      <c r="E36">
        <f t="shared" si="1"/>
        <v>0.1134736812663969</v>
      </c>
      <c r="F36">
        <f t="shared" si="4"/>
        <v>3.8126161841206727</v>
      </c>
      <c r="G36">
        <f t="shared" si="5"/>
        <v>76252.323682413451</v>
      </c>
      <c r="H36">
        <f t="shared" si="2"/>
        <v>4.1873838158793273</v>
      </c>
      <c r="AE36">
        <f t="shared" si="7"/>
        <v>30000</v>
      </c>
      <c r="AF36">
        <f t="shared" si="8"/>
        <v>0.16218852827255054</v>
      </c>
      <c r="AG36">
        <f t="shared" si="6"/>
        <v>1.1656641850744522</v>
      </c>
      <c r="AH36">
        <f t="shared" si="9"/>
        <v>34969.925552233566</v>
      </c>
      <c r="AI36">
        <f t="shared" si="10"/>
        <v>-70420.653858739213</v>
      </c>
    </row>
    <row r="37" spans="1:35">
      <c r="A37" s="14">
        <v>21000</v>
      </c>
      <c r="B37" s="6">
        <v>7</v>
      </c>
      <c r="C37" s="15">
        <f t="shared" si="3"/>
        <v>147000</v>
      </c>
      <c r="D37">
        <f t="shared" si="0"/>
        <v>0.14285714285714285</v>
      </c>
      <c r="E37">
        <f t="shared" si="1"/>
        <v>0.11834516596701225</v>
      </c>
      <c r="F37">
        <f t="shared" si="4"/>
        <v>3.4498592893835802</v>
      </c>
      <c r="G37">
        <f t="shared" si="5"/>
        <v>72447.045077055183</v>
      </c>
      <c r="H37">
        <f t="shared" si="2"/>
        <v>3.5501407106164198</v>
      </c>
      <c r="AE37">
        <f t="shared" si="7"/>
        <v>31250</v>
      </c>
      <c r="AF37">
        <f t="shared" si="8"/>
        <v>0.16827788414831976</v>
      </c>
      <c r="AG37">
        <f t="shared" si="6"/>
        <v>0.94255154241541472</v>
      </c>
      <c r="AH37">
        <f t="shared" si="9"/>
        <v>29454.73570048171</v>
      </c>
      <c r="AI37">
        <f t="shared" si="10"/>
        <v>-75935.843710491084</v>
      </c>
    </row>
    <row r="38" spans="1:35">
      <c r="A38" s="14">
        <v>22000</v>
      </c>
      <c r="B38" s="6">
        <v>5</v>
      </c>
      <c r="C38" s="15">
        <f t="shared" si="3"/>
        <v>110000</v>
      </c>
      <c r="D38">
        <f t="shared" si="0"/>
        <v>0.2</v>
      </c>
      <c r="E38">
        <f t="shared" si="1"/>
        <v>0.12321665066762763</v>
      </c>
      <c r="F38">
        <f t="shared" si="4"/>
        <v>3.1157862560106686</v>
      </c>
      <c r="G38">
        <f t="shared" si="5"/>
        <v>68547.297632234709</v>
      </c>
      <c r="H38">
        <f t="shared" si="2"/>
        <v>1.8842137439893314</v>
      </c>
      <c r="AE38">
        <f t="shared" si="7"/>
        <v>32500</v>
      </c>
      <c r="AF38">
        <f t="shared" si="8"/>
        <v>0.17436724002408896</v>
      </c>
      <c r="AG38">
        <f t="shared" si="6"/>
        <v>0.73502224306497776</v>
      </c>
      <c r="AH38">
        <f t="shared" si="9"/>
        <v>23888.222899611777</v>
      </c>
      <c r="AI38">
        <f t="shared" si="10"/>
        <v>-81502.356511361009</v>
      </c>
    </row>
    <row r="39" spans="1:35">
      <c r="A39" s="14">
        <v>29500</v>
      </c>
      <c r="B39" s="6">
        <v>3</v>
      </c>
      <c r="C39" s="15">
        <f t="shared" si="3"/>
        <v>88500</v>
      </c>
      <c r="D39">
        <f t="shared" si="0"/>
        <v>0.33333333333333331</v>
      </c>
      <c r="E39">
        <f t="shared" si="1"/>
        <v>0.15975278592224285</v>
      </c>
      <c r="F39">
        <f t="shared" si="4"/>
        <v>1.2596717436072398</v>
      </c>
      <c r="G39">
        <f t="shared" si="5"/>
        <v>37160.316436413574</v>
      </c>
      <c r="H39">
        <f t="shared" si="2"/>
        <v>1.7403282563927602</v>
      </c>
      <c r="AE39">
        <f t="shared" si="7"/>
        <v>33750</v>
      </c>
      <c r="AF39">
        <f t="shared" si="8"/>
        <v>0.18045659589985816</v>
      </c>
      <c r="AG39">
        <f t="shared" si="6"/>
        <v>0.54149874662900022</v>
      </c>
      <c r="AH39">
        <f t="shared" si="9"/>
        <v>18275.582698728758</v>
      </c>
      <c r="AI39">
        <f t="shared" si="10"/>
        <v>-87114.996712244028</v>
      </c>
    </row>
    <row r="40" spans="1:35">
      <c r="A40" s="14">
        <v>27000</v>
      </c>
      <c r="B40" s="6">
        <v>3</v>
      </c>
      <c r="C40" s="15">
        <f t="shared" si="3"/>
        <v>81000</v>
      </c>
      <c r="D40">
        <f t="shared" si="0"/>
        <v>0.33333333333333331</v>
      </c>
      <c r="E40">
        <f t="shared" si="1"/>
        <v>0.14757407417070445</v>
      </c>
      <c r="F40">
        <f t="shared" si="4"/>
        <v>1.7762579953119859</v>
      </c>
      <c r="G40">
        <f t="shared" si="5"/>
        <v>47958.965873423622</v>
      </c>
      <c r="H40">
        <f t="shared" si="2"/>
        <v>1.2237420046880141</v>
      </c>
      <c r="AE40">
        <f t="shared" si="7"/>
        <v>35000</v>
      </c>
      <c r="AF40">
        <f t="shared" si="8"/>
        <v>0.18654595177562738</v>
      </c>
      <c r="AG40">
        <f t="shared" si="6"/>
        <v>0.36060949316538338</v>
      </c>
      <c r="AH40">
        <f t="shared" si="9"/>
        <v>12621.332260788418</v>
      </c>
      <c r="AI40">
        <f t="shared" si="10"/>
        <v>-92769.247150184368</v>
      </c>
    </row>
    <row r="41" spans="1:35">
      <c r="A41" s="14">
        <v>35000</v>
      </c>
      <c r="B41" s="6">
        <v>2</v>
      </c>
      <c r="C41" s="15">
        <f t="shared" si="3"/>
        <v>70000</v>
      </c>
      <c r="D41">
        <f t="shared" si="0"/>
        <v>0.5</v>
      </c>
      <c r="E41">
        <f t="shared" si="1"/>
        <v>0.18654595177562738</v>
      </c>
      <c r="F41">
        <f t="shared" si="4"/>
        <v>0.36060949316538338</v>
      </c>
      <c r="G41">
        <f t="shared" si="5"/>
        <v>12621.332260788418</v>
      </c>
      <c r="H41">
        <f t="shared" si="2"/>
        <v>1.6393905068346166</v>
      </c>
      <c r="AE41">
        <f t="shared" si="7"/>
        <v>36250</v>
      </c>
      <c r="AF41">
        <f t="shared" si="8"/>
        <v>0.19263530765139658</v>
      </c>
      <c r="AG41">
        <f t="shared" si="6"/>
        <v>0.19115634715134799</v>
      </c>
      <c r="AH41">
        <f>AG41*AE41</f>
        <v>6929.4175842363647</v>
      </c>
      <c r="AI41">
        <f t="shared" si="10"/>
        <v>-98461.161826736425</v>
      </c>
    </row>
  </sheetData>
  <sortState ref="A7:C36">
    <sortCondition descending="1" ref="A7:A36"/>
  </sortState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G31"/>
  <sheetViews>
    <sheetView workbookViewId="0"/>
  </sheetViews>
  <sheetFormatPr defaultRowHeight="13.5"/>
  <cols>
    <col min="1" max="1" width="3.125" customWidth="1"/>
    <col min="22" max="22" width="3.125" customWidth="1"/>
  </cols>
  <sheetData>
    <row r="2" spans="1:33">
      <c r="A2" t="s">
        <v>395</v>
      </c>
    </row>
    <row r="4" spans="1:33">
      <c r="B4" s="16" t="s">
        <v>301</v>
      </c>
      <c r="C4" s="16"/>
    </row>
    <row r="5" spans="1:33">
      <c r="B5" s="16" t="str">
        <f>'４．売価と売上数の関係から価格設定する'!A5</f>
        <v>傾き</v>
      </c>
      <c r="C5" s="17">
        <f>'４．売価と売上数の関係から価格設定する'!B5</f>
        <v>4.8714847006153659E-6</v>
      </c>
    </row>
    <row r="6" spans="1:33">
      <c r="B6" s="16" t="str">
        <f>'４．売価と売上数の関係から価格設定する'!A6</f>
        <v>切片</v>
      </c>
      <c r="C6" s="17">
        <f>'４．売価と売上数の関係から価格設定する'!B6</f>
        <v>1.6043987254089571E-2</v>
      </c>
    </row>
    <row r="7" spans="1:33">
      <c r="B7" s="16" t="str">
        <f>'４．売価と売上数の関係から価格設定する'!A7</f>
        <v>相関係数</v>
      </c>
      <c r="C7" s="17">
        <f>'４．売価と売上数の関係から価格設定する'!B7</f>
        <v>0.96623801023401079</v>
      </c>
    </row>
    <row r="8" spans="1:33">
      <c r="B8" s="16" t="str">
        <f>'４．売価と売上数の関係から価格設定する'!A8</f>
        <v>調整</v>
      </c>
      <c r="C8" s="17">
        <f>'４．売価と売上数の関係から価格設定する'!B8</f>
        <v>-5</v>
      </c>
    </row>
    <row r="12" spans="1:33">
      <c r="A12" s="19" t="s">
        <v>401</v>
      </c>
      <c r="V12" s="19" t="s">
        <v>402</v>
      </c>
    </row>
    <row r="14" spans="1:33">
      <c r="B14" t="s">
        <v>277</v>
      </c>
      <c r="W14" t="s">
        <v>277</v>
      </c>
    </row>
    <row r="15" spans="1:33">
      <c r="A15" s="41"/>
      <c r="B15" s="42"/>
      <c r="C15" s="42" t="s">
        <v>397</v>
      </c>
      <c r="D15" s="42"/>
      <c r="E15" s="35" t="s">
        <v>400</v>
      </c>
      <c r="F15" s="49" t="s">
        <v>399</v>
      </c>
      <c r="G15" s="49" t="s">
        <v>398</v>
      </c>
      <c r="H15" s="51"/>
      <c r="I15" s="51"/>
      <c r="J15" s="51"/>
      <c r="K15" s="51"/>
      <c r="L15" s="52"/>
      <c r="V15" s="41"/>
      <c r="W15" s="42"/>
      <c r="X15" s="42"/>
      <c r="Y15" s="42" t="s">
        <v>397</v>
      </c>
      <c r="Z15" s="35" t="s">
        <v>400</v>
      </c>
      <c r="AA15" s="49" t="s">
        <v>399</v>
      </c>
      <c r="AB15" s="49" t="s">
        <v>398</v>
      </c>
      <c r="AC15" s="51"/>
      <c r="AD15" s="51"/>
      <c r="AE15" s="51"/>
      <c r="AF15" s="51"/>
      <c r="AG15" s="52"/>
    </row>
    <row r="16" spans="1:33">
      <c r="A16" s="41"/>
      <c r="B16" s="42" t="s">
        <v>270</v>
      </c>
      <c r="C16" s="42" t="s">
        <v>269</v>
      </c>
      <c r="D16" s="42" t="s">
        <v>268</v>
      </c>
      <c r="E16" s="35" t="s">
        <v>276</v>
      </c>
      <c r="F16" s="35" t="s">
        <v>283</v>
      </c>
      <c r="G16" s="50" t="s">
        <v>1</v>
      </c>
      <c r="H16" s="50" t="s">
        <v>0</v>
      </c>
      <c r="I16" s="50" t="s">
        <v>396</v>
      </c>
      <c r="J16" s="50" t="s">
        <v>303</v>
      </c>
      <c r="K16" s="50" t="s">
        <v>304</v>
      </c>
      <c r="L16" s="50" t="s">
        <v>302</v>
      </c>
      <c r="V16" s="41"/>
      <c r="W16" s="42" t="s">
        <v>270</v>
      </c>
      <c r="X16" s="42" t="s">
        <v>269</v>
      </c>
      <c r="Y16" s="42" t="s">
        <v>268</v>
      </c>
      <c r="Z16" s="35" t="s">
        <v>276</v>
      </c>
      <c r="AA16" s="35" t="s">
        <v>283</v>
      </c>
      <c r="AB16" s="50" t="s">
        <v>1</v>
      </c>
      <c r="AC16" s="50" t="s">
        <v>0</v>
      </c>
      <c r="AD16" s="50" t="s">
        <v>396</v>
      </c>
      <c r="AE16" s="50" t="s">
        <v>303</v>
      </c>
      <c r="AF16" s="50" t="s">
        <v>304</v>
      </c>
      <c r="AG16" s="50" t="s">
        <v>302</v>
      </c>
    </row>
    <row r="17" spans="1:33">
      <c r="A17" s="40">
        <v>1</v>
      </c>
      <c r="B17" s="1">
        <v>5000</v>
      </c>
      <c r="C17" s="63">
        <v>0.2</v>
      </c>
      <c r="D17" s="63">
        <v>0.2</v>
      </c>
      <c r="E17" s="1">
        <f>B17/(C17*(1-D17))</f>
        <v>31249.999999999993</v>
      </c>
      <c r="F17" s="12">
        <f>E17*$C$5+$C$6</f>
        <v>0.16827788414831971</v>
      </c>
      <c r="G17" s="1">
        <f>(1/F17)+$C$8</f>
        <v>0.9425515424154165</v>
      </c>
      <c r="H17" s="1">
        <f>E17*G17</f>
        <v>29454.73570048176</v>
      </c>
      <c r="I17" s="1">
        <f>G17*B17</f>
        <v>4712.7577120770829</v>
      </c>
      <c r="J17" s="1">
        <f>(D17/(1-D17))*G17</f>
        <v>0.23563788560385412</v>
      </c>
      <c r="K17" s="1">
        <f>J17*B17</f>
        <v>1178.1894280192707</v>
      </c>
      <c r="L17" s="1">
        <f>H17-I17-K17</f>
        <v>23563.788560385405</v>
      </c>
      <c r="V17" s="40">
        <v>1</v>
      </c>
      <c r="W17" s="1">
        <v>5000</v>
      </c>
      <c r="X17" s="63">
        <v>0.4</v>
      </c>
      <c r="Y17" s="63">
        <v>0.65</v>
      </c>
      <c r="Z17" s="1">
        <f>W17/(X17*(1-Y17))</f>
        <v>35714.285714285717</v>
      </c>
      <c r="AA17" s="12">
        <f>Z17*$C$5+$C$6</f>
        <v>0.19002558370463837</v>
      </c>
      <c r="AB17" s="1">
        <f>(1/AA17)+$C$8</f>
        <v>0.2624493002706707</v>
      </c>
      <c r="AC17" s="1">
        <f>Z17*AB17</f>
        <v>9373.1892953810966</v>
      </c>
      <c r="AD17" s="1">
        <f>AB17*W17</f>
        <v>1312.2465013533536</v>
      </c>
      <c r="AE17" s="1">
        <f>(Y17/(1-Y17))*AB17</f>
        <v>0.48740584335981707</v>
      </c>
      <c r="AF17" s="1">
        <f>AE17*W17</f>
        <v>2437.0292167990851</v>
      </c>
      <c r="AG17" s="1">
        <f>AC17-AD17-AF17</f>
        <v>5623.9135772286572</v>
      </c>
    </row>
    <row r="18" spans="1:33">
      <c r="A18" s="40">
        <f>A17+1</f>
        <v>2</v>
      </c>
      <c r="B18" s="1">
        <v>5000</v>
      </c>
      <c r="C18" s="63">
        <f>C17+0.05</f>
        <v>0.25</v>
      </c>
      <c r="D18" s="63">
        <v>0.2</v>
      </c>
      <c r="E18" s="1">
        <f t="shared" ref="E18:E31" si="0">B18/(C18*(1-D18))</f>
        <v>25000</v>
      </c>
      <c r="F18" s="12">
        <f t="shared" ref="F18:F31" si="1">E18*$C$5+$C$6</f>
        <v>0.13783110476947372</v>
      </c>
      <c r="G18" s="1">
        <f t="shared" ref="G18:G31" si="2">(1/F18)+$C$8</f>
        <v>2.2552563637397185</v>
      </c>
      <c r="H18" s="1">
        <f t="shared" ref="H18:H31" si="3">E18*G18</f>
        <v>56381.409093492963</v>
      </c>
      <c r="I18" s="1">
        <f t="shared" ref="I18:I31" si="4">G18*B18</f>
        <v>11276.281818698593</v>
      </c>
      <c r="J18" s="1">
        <f t="shared" ref="J18:J31" si="5">(D18/(1-D18))*G18</f>
        <v>0.56381409093492962</v>
      </c>
      <c r="K18" s="1">
        <f t="shared" ref="K18:K31" si="6">J18*B18</f>
        <v>2819.0704546746483</v>
      </c>
      <c r="L18" s="1">
        <f t="shared" ref="L18:L31" si="7">H18-I18-K18</f>
        <v>42286.056820119724</v>
      </c>
      <c r="V18" s="40">
        <f>V17+1</f>
        <v>2</v>
      </c>
      <c r="W18" s="1">
        <v>5000</v>
      </c>
      <c r="X18" s="63">
        <v>0.4</v>
      </c>
      <c r="Y18" s="63">
        <f>Y17-0.04</f>
        <v>0.61</v>
      </c>
      <c r="Z18" s="1">
        <f t="shared" ref="Z18:Z31" si="8">W18/(X18*(1-Y18))</f>
        <v>32051.282051282047</v>
      </c>
      <c r="AA18" s="12">
        <f t="shared" ref="AA18:AA31" si="9">Z18*$C$5+$C$6</f>
        <v>0.17218131740201795</v>
      </c>
      <c r="AB18" s="1">
        <f t="shared" ref="AB18:AB31" si="10">(1/AA18)+$C$8</f>
        <v>0.80783104165214237</v>
      </c>
      <c r="AC18" s="1">
        <f t="shared" ref="AC18:AC31" si="11">Z18*AB18</f>
        <v>25892.02056577379</v>
      </c>
      <c r="AD18" s="1">
        <f t="shared" ref="AD18:AD31" si="12">AB18*W18</f>
        <v>4039.1552082607118</v>
      </c>
      <c r="AE18" s="1">
        <f t="shared" ref="AE18:AE31" si="13">(Y18/(1-Y18))*AB18</f>
        <v>1.2635306036097611</v>
      </c>
      <c r="AF18" s="1">
        <f t="shared" ref="AF18:AF31" si="14">AE18*W18</f>
        <v>6317.6530180488053</v>
      </c>
      <c r="AG18" s="1">
        <f t="shared" ref="AG18:AG31" si="15">AC18-AD18-AF18</f>
        <v>15535.212339464273</v>
      </c>
    </row>
    <row r="19" spans="1:33">
      <c r="A19" s="40">
        <f t="shared" ref="A19:A31" si="16">A18+1</f>
        <v>3</v>
      </c>
      <c r="B19" s="1">
        <v>5000</v>
      </c>
      <c r="C19" s="63">
        <f t="shared" ref="C19:C31" si="17">C18+0.05</f>
        <v>0.3</v>
      </c>
      <c r="D19" s="63">
        <v>0.2</v>
      </c>
      <c r="E19" s="1">
        <f t="shared" si="0"/>
        <v>20833.333333333336</v>
      </c>
      <c r="F19" s="12">
        <f t="shared" si="1"/>
        <v>0.11753325185024305</v>
      </c>
      <c r="G19" s="1">
        <f t="shared" si="2"/>
        <v>3.5082305156856091</v>
      </c>
      <c r="H19" s="1">
        <f t="shared" si="3"/>
        <v>73088.135743450199</v>
      </c>
      <c r="I19" s="1">
        <f t="shared" si="4"/>
        <v>17541.152578428046</v>
      </c>
      <c r="J19" s="1">
        <f t="shared" si="5"/>
        <v>0.87705762892140227</v>
      </c>
      <c r="K19" s="1">
        <f t="shared" si="6"/>
        <v>4385.2881446070114</v>
      </c>
      <c r="L19" s="1">
        <f t="shared" si="7"/>
        <v>51161.695020415144</v>
      </c>
      <c r="V19" s="40">
        <f t="shared" ref="V19:V31" si="18">V18+1</f>
        <v>3</v>
      </c>
      <c r="W19" s="1">
        <v>5000</v>
      </c>
      <c r="X19" s="63">
        <v>0.4</v>
      </c>
      <c r="Y19" s="63">
        <f t="shared" ref="Y19:Y31" si="19">Y18-0.04</f>
        <v>0.56999999999999995</v>
      </c>
      <c r="Z19" s="1">
        <f t="shared" si="8"/>
        <v>29069.767441860458</v>
      </c>
      <c r="AA19" s="12">
        <f t="shared" si="9"/>
        <v>0.15765691459755948</v>
      </c>
      <c r="AB19" s="1">
        <f t="shared" si="10"/>
        <v>1.3428870376705948</v>
      </c>
      <c r="AC19" s="1">
        <f t="shared" si="11"/>
        <v>39037.413885773094</v>
      </c>
      <c r="AD19" s="1">
        <f t="shared" si="12"/>
        <v>6714.4351883529744</v>
      </c>
      <c r="AE19" s="1">
        <f t="shared" si="13"/>
        <v>1.7801060731912532</v>
      </c>
      <c r="AF19" s="1">
        <f t="shared" si="14"/>
        <v>8900.5303659562669</v>
      </c>
      <c r="AG19" s="1">
        <f t="shared" si="15"/>
        <v>23422.448331463853</v>
      </c>
    </row>
    <row r="20" spans="1:33">
      <c r="A20" s="40">
        <f t="shared" si="16"/>
        <v>4</v>
      </c>
      <c r="B20" s="1">
        <v>5000</v>
      </c>
      <c r="C20" s="63">
        <f t="shared" si="17"/>
        <v>0.35</v>
      </c>
      <c r="D20" s="63">
        <v>0.2</v>
      </c>
      <c r="E20" s="1">
        <f t="shared" si="0"/>
        <v>17857.142857142859</v>
      </c>
      <c r="F20" s="12">
        <f t="shared" si="1"/>
        <v>0.10303478547936398</v>
      </c>
      <c r="G20" s="1">
        <f t="shared" si="2"/>
        <v>4.7054601059977177</v>
      </c>
      <c r="H20" s="1">
        <f t="shared" si="3"/>
        <v>84026.073321387827</v>
      </c>
      <c r="I20" s="1">
        <f t="shared" si="4"/>
        <v>23527.300529988588</v>
      </c>
      <c r="J20" s="1">
        <f t="shared" si="5"/>
        <v>1.1763650264994294</v>
      </c>
      <c r="K20" s="1">
        <f t="shared" si="6"/>
        <v>5881.825132497147</v>
      </c>
      <c r="L20" s="1">
        <f t="shared" si="7"/>
        <v>54616.947658902092</v>
      </c>
      <c r="V20" s="40">
        <f t="shared" si="18"/>
        <v>4</v>
      </c>
      <c r="W20" s="1">
        <v>5000</v>
      </c>
      <c r="X20" s="63">
        <v>0.4</v>
      </c>
      <c r="Y20" s="63">
        <f t="shared" si="19"/>
        <v>0.52999999999999992</v>
      </c>
      <c r="Z20" s="1">
        <f t="shared" si="8"/>
        <v>26595.744680851058</v>
      </c>
      <c r="AA20" s="12">
        <f t="shared" si="9"/>
        <v>0.145604750568328</v>
      </c>
      <c r="AB20" s="1">
        <f t="shared" si="10"/>
        <v>1.8679077852664543</v>
      </c>
      <c r="AC20" s="1">
        <f t="shared" si="11"/>
        <v>49678.398544320582</v>
      </c>
      <c r="AD20" s="1">
        <f t="shared" si="12"/>
        <v>9339.5389263322722</v>
      </c>
      <c r="AE20" s="1">
        <f t="shared" si="13"/>
        <v>2.106364098279192</v>
      </c>
      <c r="AF20" s="1">
        <f t="shared" si="14"/>
        <v>10531.82049139596</v>
      </c>
      <c r="AG20" s="1">
        <f t="shared" si="15"/>
        <v>29807.03912659235</v>
      </c>
    </row>
    <row r="21" spans="1:33">
      <c r="A21" s="40">
        <f t="shared" si="16"/>
        <v>5</v>
      </c>
      <c r="B21" s="1">
        <v>5000</v>
      </c>
      <c r="C21" s="63">
        <f t="shared" si="17"/>
        <v>0.39999999999999997</v>
      </c>
      <c r="D21" s="63">
        <v>0.2</v>
      </c>
      <c r="E21" s="1">
        <f t="shared" si="0"/>
        <v>15625</v>
      </c>
      <c r="F21" s="12">
        <f t="shared" si="1"/>
        <v>9.2160935701204677E-2</v>
      </c>
      <c r="G21" s="1">
        <f t="shared" si="2"/>
        <v>5.8505842783769459</v>
      </c>
      <c r="H21" s="1">
        <f t="shared" si="3"/>
        <v>91415.379349639785</v>
      </c>
      <c r="I21" s="1">
        <f t="shared" si="4"/>
        <v>29252.921391884731</v>
      </c>
      <c r="J21" s="1">
        <f t="shared" si="5"/>
        <v>1.4626460695942365</v>
      </c>
      <c r="K21" s="1">
        <f t="shared" si="6"/>
        <v>7313.2303479711827</v>
      </c>
      <c r="L21" s="1">
        <f t="shared" si="7"/>
        <v>54849.227609783869</v>
      </c>
      <c r="V21" s="40">
        <f t="shared" si="18"/>
        <v>5</v>
      </c>
      <c r="W21" s="1">
        <v>5000</v>
      </c>
      <c r="X21" s="63">
        <v>0.4</v>
      </c>
      <c r="Y21" s="63">
        <f t="shared" si="19"/>
        <v>0.48999999999999994</v>
      </c>
      <c r="Z21" s="1">
        <f t="shared" si="8"/>
        <v>24509.803921568626</v>
      </c>
      <c r="AA21" s="12">
        <f t="shared" si="9"/>
        <v>0.13544312207309364</v>
      </c>
      <c r="AB21" s="1">
        <f t="shared" si="10"/>
        <v>2.3831729857817141</v>
      </c>
      <c r="AC21" s="1">
        <f t="shared" si="11"/>
        <v>58411.102592689065</v>
      </c>
      <c r="AD21" s="1">
        <f t="shared" si="12"/>
        <v>11915.86492890857</v>
      </c>
      <c r="AE21" s="1">
        <f t="shared" si="13"/>
        <v>2.2897152216334113</v>
      </c>
      <c r="AF21" s="1">
        <f t="shared" si="14"/>
        <v>11448.576108167057</v>
      </c>
      <c r="AG21" s="1">
        <f t="shared" si="15"/>
        <v>35046.661555613442</v>
      </c>
    </row>
    <row r="22" spans="1:33">
      <c r="A22" s="40">
        <f t="shared" si="16"/>
        <v>6</v>
      </c>
      <c r="B22" s="1">
        <v>5000</v>
      </c>
      <c r="C22" s="63">
        <f t="shared" si="17"/>
        <v>0.44999999999999996</v>
      </c>
      <c r="D22" s="63">
        <v>0.2</v>
      </c>
      <c r="E22" s="1">
        <f t="shared" si="0"/>
        <v>13888.888888888889</v>
      </c>
      <c r="F22" s="12">
        <f t="shared" si="1"/>
        <v>8.3703496984858544E-2</v>
      </c>
      <c r="G22" s="1">
        <f t="shared" si="2"/>
        <v>6.946932159607309</v>
      </c>
      <c r="H22" s="1">
        <f t="shared" si="3"/>
        <v>96485.168883434846</v>
      </c>
      <c r="I22" s="1">
        <f t="shared" si="4"/>
        <v>34734.660798036544</v>
      </c>
      <c r="J22" s="1">
        <f t="shared" si="5"/>
        <v>1.7367330399018273</v>
      </c>
      <c r="K22" s="1">
        <f t="shared" si="6"/>
        <v>8683.6651995091361</v>
      </c>
      <c r="L22" s="1">
        <f t="shared" si="7"/>
        <v>53066.842885889164</v>
      </c>
      <c r="V22" s="40">
        <f t="shared" si="18"/>
        <v>6</v>
      </c>
      <c r="W22" s="1">
        <v>5000</v>
      </c>
      <c r="X22" s="63">
        <v>0.4</v>
      </c>
      <c r="Y22" s="63">
        <f t="shared" si="19"/>
        <v>0.44999999999999996</v>
      </c>
      <c r="Z22" s="1">
        <f t="shared" si="8"/>
        <v>22727.272727272724</v>
      </c>
      <c r="AA22" s="12">
        <f t="shared" si="9"/>
        <v>0.12675954863171152</v>
      </c>
      <c r="AB22" s="1">
        <f t="shared" si="10"/>
        <v>2.8889520418332362</v>
      </c>
      <c r="AC22" s="1">
        <f t="shared" si="11"/>
        <v>65658.000950755362</v>
      </c>
      <c r="AD22" s="1">
        <f t="shared" si="12"/>
        <v>14444.760209166181</v>
      </c>
      <c r="AE22" s="1">
        <f t="shared" si="13"/>
        <v>2.3636880342271929</v>
      </c>
      <c r="AF22" s="1">
        <f t="shared" si="14"/>
        <v>11818.440171135964</v>
      </c>
      <c r="AG22" s="1">
        <f t="shared" si="15"/>
        <v>39394.800570453212</v>
      </c>
    </row>
    <row r="23" spans="1:33">
      <c r="A23" s="40">
        <f t="shared" si="16"/>
        <v>7</v>
      </c>
      <c r="B23" s="1">
        <v>5000</v>
      </c>
      <c r="C23" s="63">
        <f t="shared" si="17"/>
        <v>0.49999999999999994</v>
      </c>
      <c r="D23" s="63">
        <v>0.2</v>
      </c>
      <c r="E23" s="1">
        <f t="shared" si="0"/>
        <v>12500.000000000002</v>
      </c>
      <c r="F23" s="12">
        <f t="shared" si="1"/>
        <v>7.6937546011781655E-2</v>
      </c>
      <c r="G23" s="1">
        <f t="shared" si="2"/>
        <v>7.9975551838742991</v>
      </c>
      <c r="H23" s="1">
        <f t="shared" si="3"/>
        <v>99969.43979842875</v>
      </c>
      <c r="I23" s="1">
        <f t="shared" si="4"/>
        <v>39987.775919371496</v>
      </c>
      <c r="J23" s="1">
        <f t="shared" si="5"/>
        <v>1.9993887959685748</v>
      </c>
      <c r="K23" s="1">
        <f t="shared" si="6"/>
        <v>9996.9439798428739</v>
      </c>
      <c r="L23" s="1">
        <f t="shared" si="7"/>
        <v>49984.719899214382</v>
      </c>
      <c r="V23" s="40">
        <f t="shared" si="18"/>
        <v>7</v>
      </c>
      <c r="W23" s="1">
        <v>5000</v>
      </c>
      <c r="X23" s="63">
        <v>0.4</v>
      </c>
      <c r="Y23" s="63">
        <f t="shared" si="19"/>
        <v>0.41</v>
      </c>
      <c r="Z23" s="1">
        <f t="shared" si="8"/>
        <v>21186.440677966097</v>
      </c>
      <c r="AA23" s="12">
        <f t="shared" si="9"/>
        <v>0.11925340887729646</v>
      </c>
      <c r="AB23" s="1">
        <f t="shared" si="10"/>
        <v>3.3855045269936976</v>
      </c>
      <c r="AC23" s="1">
        <f t="shared" si="11"/>
        <v>71726.790826137643</v>
      </c>
      <c r="AD23" s="1">
        <f t="shared" si="12"/>
        <v>16927.522634968489</v>
      </c>
      <c r="AE23" s="1">
        <f t="shared" si="13"/>
        <v>2.3526387390973147</v>
      </c>
      <c r="AF23" s="1">
        <f t="shared" si="14"/>
        <v>11763.193695486574</v>
      </c>
      <c r="AG23" s="1">
        <f t="shared" si="15"/>
        <v>43036.07449568258</v>
      </c>
    </row>
    <row r="24" spans="1:33">
      <c r="A24" s="40">
        <f t="shared" si="16"/>
        <v>8</v>
      </c>
      <c r="B24" s="1">
        <v>5000</v>
      </c>
      <c r="C24" s="63">
        <f t="shared" si="17"/>
        <v>0.54999999999999993</v>
      </c>
      <c r="D24" s="63">
        <v>0.2</v>
      </c>
      <c r="E24" s="1">
        <f t="shared" si="0"/>
        <v>11363.636363636366</v>
      </c>
      <c r="F24" s="12">
        <f t="shared" si="1"/>
        <v>7.1401767942900568E-2</v>
      </c>
      <c r="G24" s="1">
        <f t="shared" si="2"/>
        <v>9.0052554552947779</v>
      </c>
      <c r="H24" s="1">
        <f t="shared" si="3"/>
        <v>102332.4483556225</v>
      </c>
      <c r="I24" s="1">
        <f t="shared" si="4"/>
        <v>45026.277276473891</v>
      </c>
      <c r="J24" s="1">
        <f t="shared" si="5"/>
        <v>2.2513138638236945</v>
      </c>
      <c r="K24" s="1">
        <f t="shared" si="6"/>
        <v>11256.569319118473</v>
      </c>
      <c r="L24" s="1">
        <f t="shared" si="7"/>
        <v>46049.601760030142</v>
      </c>
      <c r="V24" s="40">
        <f t="shared" si="18"/>
        <v>8</v>
      </c>
      <c r="W24" s="1">
        <v>5000</v>
      </c>
      <c r="X24" s="63">
        <v>0.4</v>
      </c>
      <c r="Y24" s="63">
        <f t="shared" si="19"/>
        <v>0.37</v>
      </c>
      <c r="Z24" s="1">
        <f t="shared" si="8"/>
        <v>19841.269841269841</v>
      </c>
      <c r="AA24" s="12">
        <f t="shared" si="9"/>
        <v>0.11270042972661667</v>
      </c>
      <c r="AB24" s="1">
        <f t="shared" si="10"/>
        <v>3.8730806300007217</v>
      </c>
      <c r="AC24" s="1">
        <f t="shared" si="11"/>
        <v>76846.837896839716</v>
      </c>
      <c r="AD24" s="1">
        <f t="shared" si="12"/>
        <v>19365.403150003607</v>
      </c>
      <c r="AE24" s="1">
        <f t="shared" si="13"/>
        <v>2.2746664017464555</v>
      </c>
      <c r="AF24" s="1">
        <f t="shared" si="14"/>
        <v>11373.332008732277</v>
      </c>
      <c r="AG24" s="1">
        <f t="shared" si="15"/>
        <v>46108.102738103829</v>
      </c>
    </row>
    <row r="25" spans="1:33">
      <c r="A25" s="40">
        <f t="shared" si="16"/>
        <v>9</v>
      </c>
      <c r="B25" s="1">
        <v>5000</v>
      </c>
      <c r="C25" s="63">
        <f t="shared" si="17"/>
        <v>0.6</v>
      </c>
      <c r="D25" s="63">
        <v>0.2</v>
      </c>
      <c r="E25" s="1">
        <f t="shared" si="0"/>
        <v>10416.666666666668</v>
      </c>
      <c r="F25" s="12">
        <f t="shared" si="1"/>
        <v>6.6788619552166306E-2</v>
      </c>
      <c r="G25" s="1">
        <f t="shared" si="2"/>
        <v>9.9726107038180984</v>
      </c>
      <c r="H25" s="1">
        <f t="shared" si="3"/>
        <v>103881.36149810521</v>
      </c>
      <c r="I25" s="1">
        <f t="shared" si="4"/>
        <v>49863.053519090492</v>
      </c>
      <c r="J25" s="1">
        <f t="shared" si="5"/>
        <v>2.4931526759545246</v>
      </c>
      <c r="K25" s="1">
        <f t="shared" si="6"/>
        <v>12465.763379772623</v>
      </c>
      <c r="L25" s="1">
        <f t="shared" si="7"/>
        <v>41552.544599242094</v>
      </c>
      <c r="V25" s="40">
        <f t="shared" si="18"/>
        <v>9</v>
      </c>
      <c r="W25" s="1">
        <v>5000</v>
      </c>
      <c r="X25" s="63">
        <v>0.4</v>
      </c>
      <c r="Y25" s="63">
        <f t="shared" si="19"/>
        <v>0.33</v>
      </c>
      <c r="Z25" s="1">
        <f t="shared" si="8"/>
        <v>18656.716417910451</v>
      </c>
      <c r="AA25" s="12">
        <f t="shared" si="9"/>
        <v>0.10692989584765986</v>
      </c>
      <c r="AB25" s="1">
        <f t="shared" si="10"/>
        <v>4.3519215750913389</v>
      </c>
      <c r="AC25" s="1">
        <f t="shared" si="11"/>
        <v>81192.5666994653</v>
      </c>
      <c r="AD25" s="1">
        <f t="shared" si="12"/>
        <v>21759.607875456695</v>
      </c>
      <c r="AE25" s="1">
        <f t="shared" si="13"/>
        <v>2.1434837608658839</v>
      </c>
      <c r="AF25" s="1">
        <f t="shared" si="14"/>
        <v>10717.41880432942</v>
      </c>
      <c r="AG25" s="1">
        <f t="shared" si="15"/>
        <v>48715.540019679182</v>
      </c>
    </row>
    <row r="26" spans="1:33">
      <c r="A26" s="40">
        <f t="shared" si="16"/>
        <v>10</v>
      </c>
      <c r="B26" s="1">
        <v>5000</v>
      </c>
      <c r="C26" s="63">
        <f t="shared" si="17"/>
        <v>0.65</v>
      </c>
      <c r="D26" s="63">
        <v>0.2</v>
      </c>
      <c r="E26" s="1">
        <f t="shared" si="0"/>
        <v>9615.3846153846152</v>
      </c>
      <c r="F26" s="12">
        <f t="shared" si="1"/>
        <v>6.2885186298468093E-2</v>
      </c>
      <c r="G26" s="1">
        <f t="shared" si="2"/>
        <v>10.901996302495814</v>
      </c>
      <c r="H26" s="1">
        <f t="shared" si="3"/>
        <v>104826.8875239982</v>
      </c>
      <c r="I26" s="1">
        <f t="shared" si="4"/>
        <v>54509.981512479069</v>
      </c>
      <c r="J26" s="1">
        <f t="shared" si="5"/>
        <v>2.7254990756239534</v>
      </c>
      <c r="K26" s="1">
        <f t="shared" si="6"/>
        <v>13627.495378119767</v>
      </c>
      <c r="L26" s="1">
        <f t="shared" si="7"/>
        <v>36689.410633399362</v>
      </c>
      <c r="V26" s="40">
        <f t="shared" si="18"/>
        <v>10</v>
      </c>
      <c r="W26" s="1">
        <v>5000</v>
      </c>
      <c r="X26" s="63">
        <v>0.4</v>
      </c>
      <c r="Y26" s="63">
        <f t="shared" si="19"/>
        <v>0.29000000000000004</v>
      </c>
      <c r="Z26" s="1">
        <f t="shared" si="8"/>
        <v>17605.633802816905</v>
      </c>
      <c r="AA26" s="12">
        <f t="shared" si="9"/>
        <v>0.10180956296914884</v>
      </c>
      <c r="AB26" s="1">
        <f t="shared" si="10"/>
        <v>4.8222600199455545</v>
      </c>
      <c r="AC26" s="1">
        <f t="shared" si="11"/>
        <v>84898.944013125976</v>
      </c>
      <c r="AD26" s="1">
        <f t="shared" si="12"/>
        <v>24111.300099727774</v>
      </c>
      <c r="AE26" s="1">
        <f t="shared" si="13"/>
        <v>1.9696555011045227</v>
      </c>
      <c r="AF26" s="1">
        <f t="shared" si="14"/>
        <v>9848.2775055226139</v>
      </c>
      <c r="AG26" s="1">
        <f t="shared" si="15"/>
        <v>50939.36640787559</v>
      </c>
    </row>
    <row r="27" spans="1:33">
      <c r="A27" s="40">
        <f t="shared" si="16"/>
        <v>11</v>
      </c>
      <c r="B27" s="1">
        <v>5000</v>
      </c>
      <c r="C27" s="63">
        <f t="shared" si="17"/>
        <v>0.70000000000000007</v>
      </c>
      <c r="D27" s="63">
        <v>0.2</v>
      </c>
      <c r="E27" s="1">
        <f t="shared" si="0"/>
        <v>8928.5714285714275</v>
      </c>
      <c r="F27" s="12">
        <f t="shared" si="1"/>
        <v>5.953938636672676E-2</v>
      </c>
      <c r="G27" s="1">
        <f t="shared" si="2"/>
        <v>11.795604742054316</v>
      </c>
      <c r="H27" s="1">
        <f t="shared" si="3"/>
        <v>105317.89948262781</v>
      </c>
      <c r="I27" s="1">
        <f t="shared" si="4"/>
        <v>58978.023710271576</v>
      </c>
      <c r="J27" s="1">
        <f t="shared" si="5"/>
        <v>2.9489011855135789</v>
      </c>
      <c r="K27" s="1">
        <f t="shared" si="6"/>
        <v>14744.505927567894</v>
      </c>
      <c r="L27" s="1">
        <f t="shared" si="7"/>
        <v>31595.369844788336</v>
      </c>
      <c r="V27" s="40">
        <f t="shared" si="18"/>
        <v>11</v>
      </c>
      <c r="W27" s="1">
        <v>5000</v>
      </c>
      <c r="X27" s="63">
        <v>0.4</v>
      </c>
      <c r="Y27" s="63">
        <f t="shared" si="19"/>
        <v>0.25000000000000006</v>
      </c>
      <c r="Z27" s="1">
        <f t="shared" si="8"/>
        <v>16666.666666666664</v>
      </c>
      <c r="AA27" s="12">
        <f t="shared" si="9"/>
        <v>9.7235398931012323E-2</v>
      </c>
      <c r="AB27" s="1">
        <f t="shared" si="10"/>
        <v>5.2843204326182835</v>
      </c>
      <c r="AC27" s="1">
        <f t="shared" si="11"/>
        <v>88072.007210304713</v>
      </c>
      <c r="AD27" s="1">
        <f t="shared" si="12"/>
        <v>26421.602163091418</v>
      </c>
      <c r="AE27" s="1">
        <f t="shared" si="13"/>
        <v>1.761440144206095</v>
      </c>
      <c r="AF27" s="1">
        <f t="shared" si="14"/>
        <v>8807.2007210304746</v>
      </c>
      <c r="AG27" s="1">
        <f t="shared" si="15"/>
        <v>52843.204326182822</v>
      </c>
    </row>
    <row r="28" spans="1:33">
      <c r="A28" s="40">
        <f t="shared" si="16"/>
        <v>12</v>
      </c>
      <c r="B28" s="1">
        <v>5000</v>
      </c>
      <c r="C28" s="63">
        <f t="shared" si="17"/>
        <v>0.75000000000000011</v>
      </c>
      <c r="D28" s="63">
        <v>0.2</v>
      </c>
      <c r="E28" s="1">
        <f t="shared" si="0"/>
        <v>8333.3333333333321</v>
      </c>
      <c r="F28" s="12">
        <f t="shared" si="1"/>
        <v>5.6639693092550951E-2</v>
      </c>
      <c r="G28" s="1">
        <f t="shared" si="2"/>
        <v>12.655462898889127</v>
      </c>
      <c r="H28" s="1">
        <f t="shared" si="3"/>
        <v>105462.19082407604</v>
      </c>
      <c r="I28" s="1">
        <f t="shared" si="4"/>
        <v>63277.314494445636</v>
      </c>
      <c r="J28" s="1">
        <f t="shared" si="5"/>
        <v>3.1638657247222817</v>
      </c>
      <c r="K28" s="1">
        <f t="shared" si="6"/>
        <v>15819.328623611409</v>
      </c>
      <c r="L28" s="1">
        <f t="shared" si="7"/>
        <v>26365.547706018995</v>
      </c>
      <c r="V28" s="40">
        <f t="shared" si="18"/>
        <v>12</v>
      </c>
      <c r="W28" s="1">
        <v>5000</v>
      </c>
      <c r="X28" s="63">
        <v>0.4</v>
      </c>
      <c r="Y28" s="63">
        <f t="shared" si="19"/>
        <v>0.21000000000000005</v>
      </c>
      <c r="Z28" s="1">
        <f t="shared" si="8"/>
        <v>15822.784810126583</v>
      </c>
      <c r="AA28" s="12">
        <f t="shared" si="9"/>
        <v>9.3124441377750417E-2</v>
      </c>
      <c r="AB28" s="1">
        <f t="shared" si="10"/>
        <v>5.7383194487427343</v>
      </c>
      <c r="AC28" s="1">
        <f t="shared" si="11"/>
        <v>90796.19380922048</v>
      </c>
      <c r="AD28" s="1">
        <f t="shared" si="12"/>
        <v>28691.59724371367</v>
      </c>
      <c r="AE28" s="1">
        <f t="shared" si="13"/>
        <v>1.5253760559949046</v>
      </c>
      <c r="AF28" s="1">
        <f t="shared" si="14"/>
        <v>7626.8802799745226</v>
      </c>
      <c r="AG28" s="1">
        <f t="shared" si="15"/>
        <v>54477.716285532289</v>
      </c>
    </row>
    <row r="29" spans="1:33">
      <c r="A29" s="40">
        <f t="shared" si="16"/>
        <v>13</v>
      </c>
      <c r="B29" s="1">
        <v>5000</v>
      </c>
      <c r="C29" s="63">
        <f t="shared" si="17"/>
        <v>0.80000000000000016</v>
      </c>
      <c r="D29" s="63">
        <v>0.2</v>
      </c>
      <c r="E29" s="1">
        <f t="shared" si="0"/>
        <v>7812.4999999999982</v>
      </c>
      <c r="F29" s="12">
        <f t="shared" si="1"/>
        <v>5.4102461477647107E-2</v>
      </c>
      <c r="G29" s="1">
        <f t="shared" si="2"/>
        <v>13.48344738276203</v>
      </c>
      <c r="H29" s="1">
        <f t="shared" si="3"/>
        <v>105339.43267782833</v>
      </c>
      <c r="I29" s="1">
        <f t="shared" si="4"/>
        <v>67417.236913810149</v>
      </c>
      <c r="J29" s="1">
        <f t="shared" si="5"/>
        <v>3.3708618456905075</v>
      </c>
      <c r="K29" s="1">
        <f t="shared" si="6"/>
        <v>16854.309228452537</v>
      </c>
      <c r="L29" s="1">
        <f t="shared" si="7"/>
        <v>21067.886535565642</v>
      </c>
      <c r="V29" s="40">
        <f t="shared" si="18"/>
        <v>13</v>
      </c>
      <c r="W29" s="1">
        <v>5000</v>
      </c>
      <c r="X29" s="63">
        <v>0.4</v>
      </c>
      <c r="Y29" s="63">
        <f t="shared" si="19"/>
        <v>0.17000000000000004</v>
      </c>
      <c r="Z29" s="1">
        <f t="shared" si="8"/>
        <v>15060.240963855422</v>
      </c>
      <c r="AA29" s="12">
        <f t="shared" si="9"/>
        <v>8.9409720697092077E-2</v>
      </c>
      <c r="AB29" s="1">
        <f t="shared" si="10"/>
        <v>6.1844662101994867</v>
      </c>
      <c r="AC29" s="1">
        <f t="shared" si="11"/>
        <v>93139.551358426004</v>
      </c>
      <c r="AD29" s="1">
        <f t="shared" si="12"/>
        <v>30922.331050997433</v>
      </c>
      <c r="AE29" s="1">
        <f t="shared" si="13"/>
        <v>1.266697898474594</v>
      </c>
      <c r="AF29" s="1">
        <f t="shared" si="14"/>
        <v>6333.4894923729698</v>
      </c>
      <c r="AG29" s="1">
        <f t="shared" si="15"/>
        <v>55883.730815055605</v>
      </c>
    </row>
    <row r="30" spans="1:33">
      <c r="A30" s="40">
        <f t="shared" si="16"/>
        <v>14</v>
      </c>
      <c r="B30" s="1">
        <v>5000</v>
      </c>
      <c r="C30" s="63">
        <f t="shared" si="17"/>
        <v>0.8500000000000002</v>
      </c>
      <c r="D30" s="63">
        <v>0.2</v>
      </c>
      <c r="E30" s="1">
        <f t="shared" si="0"/>
        <v>7352.9411764705865</v>
      </c>
      <c r="F30" s="12">
        <f t="shared" si="1"/>
        <v>5.1863727699790779E-2</v>
      </c>
      <c r="G30" s="1">
        <f t="shared" si="2"/>
        <v>14.281298208806422</v>
      </c>
      <c r="H30" s="1">
        <f t="shared" si="3"/>
        <v>105009.54565298838</v>
      </c>
      <c r="I30" s="1">
        <f t="shared" si="4"/>
        <v>71406.491044032111</v>
      </c>
      <c r="J30" s="1">
        <f t="shared" si="5"/>
        <v>3.5703245522016056</v>
      </c>
      <c r="K30" s="1">
        <f t="shared" si="6"/>
        <v>17851.622761008028</v>
      </c>
      <c r="L30" s="1">
        <f t="shared" si="7"/>
        <v>15751.431847948243</v>
      </c>
      <c r="V30" s="40">
        <f t="shared" si="18"/>
        <v>14</v>
      </c>
      <c r="W30" s="1">
        <v>5000</v>
      </c>
      <c r="X30" s="63">
        <v>0.4</v>
      </c>
      <c r="Y30" s="63">
        <f t="shared" si="19"/>
        <v>0.13000000000000003</v>
      </c>
      <c r="Z30" s="1">
        <f t="shared" si="8"/>
        <v>14367.816091954022</v>
      </c>
      <c r="AA30" s="12">
        <f t="shared" si="9"/>
        <v>8.6036583527298843E-2</v>
      </c>
      <c r="AB30" s="1">
        <f t="shared" si="10"/>
        <v>6.6229626863636053</v>
      </c>
      <c r="AC30" s="1">
        <f t="shared" si="11"/>
        <v>95157.509861546045</v>
      </c>
      <c r="AD30" s="1">
        <f t="shared" si="12"/>
        <v>33114.813431818024</v>
      </c>
      <c r="AE30" s="1">
        <f t="shared" si="13"/>
        <v>0.98963810256007922</v>
      </c>
      <c r="AF30" s="1">
        <f t="shared" si="14"/>
        <v>4948.1905128003964</v>
      </c>
      <c r="AG30" s="1">
        <f t="shared" si="15"/>
        <v>57094.505916927621</v>
      </c>
    </row>
    <row r="31" spans="1:33">
      <c r="A31" s="40">
        <f t="shared" si="16"/>
        <v>15</v>
      </c>
      <c r="B31" s="1">
        <v>5000</v>
      </c>
      <c r="C31" s="63">
        <f t="shared" si="17"/>
        <v>0.90000000000000024</v>
      </c>
      <c r="D31" s="63">
        <v>0.2</v>
      </c>
      <c r="E31" s="1">
        <f t="shared" si="0"/>
        <v>6944.4444444444425</v>
      </c>
      <c r="F31" s="12">
        <f t="shared" si="1"/>
        <v>4.9873742119474047E-2</v>
      </c>
      <c r="G31" s="1">
        <f t="shared" si="2"/>
        <v>15.05063100347413</v>
      </c>
      <c r="H31" s="1">
        <f t="shared" si="3"/>
        <v>104518.27085745921</v>
      </c>
      <c r="I31" s="1">
        <f t="shared" si="4"/>
        <v>75253.155017370649</v>
      </c>
      <c r="J31" s="1">
        <f t="shared" si="5"/>
        <v>3.7626577508685326</v>
      </c>
      <c r="K31" s="1">
        <f t="shared" si="6"/>
        <v>18813.288754342662</v>
      </c>
      <c r="L31" s="1">
        <f t="shared" si="7"/>
        <v>10451.827085745899</v>
      </c>
      <c r="V31" s="40">
        <f t="shared" si="18"/>
        <v>15</v>
      </c>
      <c r="W31" s="1">
        <v>5000</v>
      </c>
      <c r="X31" s="63">
        <v>0.4</v>
      </c>
      <c r="Y31" s="63">
        <f t="shared" si="19"/>
        <v>9.0000000000000024E-2</v>
      </c>
      <c r="Z31" s="1">
        <f t="shared" si="8"/>
        <v>13736.263736263736</v>
      </c>
      <c r="AA31" s="12">
        <f t="shared" si="9"/>
        <v>8.2959985888916038E-2</v>
      </c>
      <c r="AB31" s="1">
        <f t="shared" si="10"/>
        <v>7.0540039789665165</v>
      </c>
      <c r="AC31" s="1">
        <f t="shared" si="11"/>
        <v>96895.659051737865</v>
      </c>
      <c r="AD31" s="1">
        <f t="shared" si="12"/>
        <v>35270.019894832585</v>
      </c>
      <c r="AE31" s="1">
        <f t="shared" si="13"/>
        <v>0.69764874517251285</v>
      </c>
      <c r="AF31" s="1">
        <f t="shared" si="14"/>
        <v>3488.2437258625641</v>
      </c>
      <c r="AG31" s="1">
        <f t="shared" si="15"/>
        <v>58137.395431042714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１．売れる時期を把握する</vt:lpstr>
      <vt:lpstr>【補足】１．売れる時期を把握する</vt:lpstr>
      <vt:lpstr>２．環境要因を把握する</vt:lpstr>
      <vt:lpstr>２．売上に対する環境要因の影響を把握する</vt:lpstr>
      <vt:lpstr>２．店舗の売上に対する環境要因の影響を把握する</vt:lpstr>
      <vt:lpstr>３．最適在庫数を求める</vt:lpstr>
      <vt:lpstr>４．原価率と廃棄率より価格設定する</vt:lpstr>
      <vt:lpstr>４．損益分岐点より価格設定する</vt:lpstr>
      <vt:lpstr>４．売価と売上数の関係から価格設定する</vt:lpstr>
      <vt:lpstr>５．努力の方針を定める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2022-06-04T12:32:57Z</dcterms:modified>
</cp:coreProperties>
</file>